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VideoLottery\21FY\"/>
    </mc:Choice>
  </mc:AlternateContent>
  <bookViews>
    <workbookView xWindow="-15" yWindow="-15" windowWidth="14445" windowHeight="13155"/>
  </bookViews>
  <sheets>
    <sheet name="Weekly" sheetId="1" r:id="rId1"/>
    <sheet name="YTD Summary" sheetId="7" r:id="rId2"/>
    <sheet name="Mountaineer" sheetId="2" r:id="rId3"/>
    <sheet name="Wheeling" sheetId="3" r:id="rId4"/>
    <sheet name="Mardi Gras" sheetId="4" r:id="rId5"/>
    <sheet name="Charles Town" sheetId="5" r:id="rId6"/>
    <sheet name="Total" sheetId="6" r:id="rId7"/>
  </sheets>
  <definedNames>
    <definedName name="_xlnm.Print_Area" localSheetId="5">'Charles Town'!$A$1:$W$65</definedName>
    <definedName name="_xlnm.Print_Area" localSheetId="4">'Mardi Gras'!$A$1:$W$65</definedName>
    <definedName name="_xlnm.Print_Area" localSheetId="2">Mountaineer!$A$1:$W$65</definedName>
    <definedName name="_xlnm.Print_Area" localSheetId="6">Total!$A$1:$W$65</definedName>
    <definedName name="_xlnm.Print_Area" localSheetId="0">Weekly!$A$1:$L$42</definedName>
    <definedName name="_xlnm.Print_Area" localSheetId="3">Wheeling!$A$1:$W$65</definedName>
    <definedName name="_xlnm.Print_Area" localSheetId="1">'YTD Summary'!$A$1:$L$53</definedName>
  </definedNames>
  <calcPr calcId="162913"/>
</workbook>
</file>

<file path=xl/calcChain.xml><?xml version="1.0" encoding="utf-8"?>
<calcChain xmlns="http://schemas.openxmlformats.org/spreadsheetml/2006/main">
  <c r="E32" i="7" l="1"/>
  <c r="C36" i="7"/>
  <c r="C34" i="7"/>
  <c r="C32" i="7"/>
  <c r="E30" i="7"/>
  <c r="E38" i="7"/>
  <c r="D30" i="7"/>
  <c r="C30" i="7"/>
  <c r="C38" i="7"/>
  <c r="B38" i="7"/>
  <c r="D38" i="7"/>
  <c r="G38" i="7"/>
  <c r="H38" i="7"/>
  <c r="B20" i="7"/>
  <c r="C22" i="7"/>
  <c r="E22" i="7"/>
  <c r="F22" i="7"/>
  <c r="I22" i="7"/>
  <c r="I20" i="7"/>
  <c r="K22" i="7"/>
  <c r="E38" i="1" l="1"/>
  <c r="E36" i="1"/>
  <c r="B38" i="1"/>
  <c r="B36" i="1"/>
  <c r="B34" i="1"/>
  <c r="D36" i="1"/>
  <c r="C38" i="1"/>
  <c r="C34" i="1"/>
  <c r="D32" i="1"/>
  <c r="C30" i="1"/>
  <c r="B22" i="1"/>
  <c r="B20" i="1"/>
  <c r="B18" i="1"/>
  <c r="E22" i="1"/>
  <c r="F22" i="1"/>
  <c r="F14" i="1"/>
  <c r="K22" i="1"/>
  <c r="W60" i="6"/>
  <c r="U58" i="5"/>
  <c r="T58" i="5"/>
  <c r="O58" i="4"/>
  <c r="N58" i="4"/>
  <c r="F58" i="4"/>
  <c r="U58" i="3"/>
  <c r="T58" i="3"/>
  <c r="Q58" i="3"/>
  <c r="O58" i="3"/>
  <c r="N58" i="3"/>
  <c r="T58" i="2" l="1"/>
  <c r="Q58" i="2"/>
  <c r="O58" i="2"/>
  <c r="N58" i="2"/>
  <c r="F58" i="2"/>
  <c r="L36" i="1" l="1"/>
  <c r="L34" i="1"/>
  <c r="L32" i="1"/>
  <c r="L30" i="1"/>
  <c r="J30" i="1"/>
  <c r="G20" i="1"/>
  <c r="F20" i="1"/>
  <c r="D20" i="1"/>
  <c r="C20" i="1"/>
  <c r="D18" i="1"/>
  <c r="C18" i="1"/>
  <c r="D16" i="1"/>
  <c r="C16" i="1"/>
  <c r="B16" i="1"/>
  <c r="D14" i="1"/>
  <c r="C14" i="1"/>
  <c r="B14" i="1"/>
  <c r="W58" i="6"/>
  <c r="L38" i="1" s="1"/>
  <c r="D58" i="6"/>
  <c r="D22" i="1" s="1"/>
  <c r="C58" i="6"/>
  <c r="C22" i="1" s="1"/>
  <c r="B58" i="6"/>
  <c r="A58" i="6"/>
  <c r="K58" i="5"/>
  <c r="J20" i="1" s="1"/>
  <c r="J58" i="5"/>
  <c r="I20" i="1" s="1"/>
  <c r="E58" i="5"/>
  <c r="H58" i="5" s="1"/>
  <c r="H20" i="1" s="1"/>
  <c r="A58" i="5"/>
  <c r="E58" i="4"/>
  <c r="V58" i="4" s="1"/>
  <c r="K34" i="1" s="1"/>
  <c r="A58" i="4"/>
  <c r="E58" i="3"/>
  <c r="V58" i="3" s="1"/>
  <c r="K32" i="1" s="1"/>
  <c r="A58" i="3"/>
  <c r="E58" i="2"/>
  <c r="V58" i="2" s="1"/>
  <c r="K30" i="1" s="1"/>
  <c r="E20" i="1" l="1"/>
  <c r="E18" i="1"/>
  <c r="E16" i="1"/>
  <c r="E14" i="1"/>
  <c r="E58" i="6"/>
  <c r="V58" i="5"/>
  <c r="K36" i="1" s="1"/>
  <c r="L58" i="5"/>
  <c r="F18" i="1"/>
  <c r="G58" i="4"/>
  <c r="G18" i="1" s="1"/>
  <c r="F58" i="3"/>
  <c r="F16" i="1" s="1"/>
  <c r="G58" i="3"/>
  <c r="G16" i="1" s="1"/>
  <c r="G58" i="2"/>
  <c r="I36" i="1" l="1"/>
  <c r="K20" i="1"/>
  <c r="O58" i="5"/>
  <c r="J36" i="1"/>
  <c r="V58" i="6"/>
  <c r="K38" i="1" s="1"/>
  <c r="G58" i="6"/>
  <c r="G22" i="1" s="1"/>
  <c r="G14" i="1"/>
  <c r="F58" i="6"/>
  <c r="S58" i="5"/>
  <c r="H36" i="1" s="1"/>
  <c r="M58" i="5"/>
  <c r="R58" i="5"/>
  <c r="G36" i="1" s="1"/>
  <c r="Q58" i="5"/>
  <c r="F36" i="1" s="1"/>
  <c r="P58" i="5"/>
  <c r="N58" i="5"/>
  <c r="C36" i="1" s="1"/>
  <c r="H58" i="4"/>
  <c r="H58" i="3"/>
  <c r="H58" i="2"/>
  <c r="U57" i="5"/>
  <c r="T57" i="5"/>
  <c r="O57" i="5"/>
  <c r="U57" i="4"/>
  <c r="T57" i="4"/>
  <c r="Q57" i="4"/>
  <c r="O57" i="4"/>
  <c r="N57" i="4"/>
  <c r="O57" i="3"/>
  <c r="N57" i="3"/>
  <c r="T57" i="2"/>
  <c r="Q57" i="2"/>
  <c r="O57" i="2"/>
  <c r="N57" i="2"/>
  <c r="I58" i="4" l="1"/>
  <c r="H18" i="1"/>
  <c r="I58" i="3"/>
  <c r="J58" i="3" s="1"/>
  <c r="I16" i="1" s="1"/>
  <c r="H16" i="1"/>
  <c r="I58" i="2"/>
  <c r="H58" i="6"/>
  <c r="H22" i="1" s="1"/>
  <c r="H14" i="1"/>
  <c r="W57" i="6"/>
  <c r="D57" i="6"/>
  <c r="C57" i="6"/>
  <c r="B57" i="6"/>
  <c r="K57" i="5"/>
  <c r="J57" i="5"/>
  <c r="E57" i="5"/>
  <c r="V57" i="5" s="1"/>
  <c r="E57" i="4"/>
  <c r="V57" i="4" s="1"/>
  <c r="E57" i="3"/>
  <c r="F57" i="3" s="1"/>
  <c r="E57" i="2"/>
  <c r="V57" i="2" s="1"/>
  <c r="K58" i="4" l="1"/>
  <c r="J18" i="1" s="1"/>
  <c r="J58" i="4"/>
  <c r="K58" i="3"/>
  <c r="K58" i="2"/>
  <c r="I58" i="6"/>
  <c r="J58" i="2"/>
  <c r="F57" i="4"/>
  <c r="E57" i="6"/>
  <c r="F57" i="2"/>
  <c r="H57" i="5"/>
  <c r="G57" i="4"/>
  <c r="G57" i="3"/>
  <c r="V57" i="3"/>
  <c r="G57" i="2"/>
  <c r="N56" i="4"/>
  <c r="F56" i="4"/>
  <c r="I18" i="1" l="1"/>
  <c r="L58" i="4"/>
  <c r="L58" i="3"/>
  <c r="J16" i="1"/>
  <c r="L58" i="2"/>
  <c r="I14" i="1"/>
  <c r="J58" i="6"/>
  <c r="I22" i="1" s="1"/>
  <c r="J14" i="1"/>
  <c r="K58" i="6"/>
  <c r="J22" i="1" s="1"/>
  <c r="L57" i="5"/>
  <c r="R57" i="5" s="1"/>
  <c r="H57" i="4"/>
  <c r="I57" i="4"/>
  <c r="H57" i="3"/>
  <c r="V57" i="6"/>
  <c r="F57" i="6"/>
  <c r="G57" i="6"/>
  <c r="S57" i="5"/>
  <c r="J57" i="4"/>
  <c r="K57" i="4"/>
  <c r="H57" i="2"/>
  <c r="S58" i="4" l="1"/>
  <c r="H34" i="1" s="1"/>
  <c r="K18" i="1"/>
  <c r="U58" i="4"/>
  <c r="J34" i="1" s="1"/>
  <c r="T58" i="4"/>
  <c r="I34" i="1" s="1"/>
  <c r="Q58" i="4"/>
  <c r="F34" i="1" s="1"/>
  <c r="D34" i="1"/>
  <c r="M58" i="4"/>
  <c r="R58" i="4"/>
  <c r="G34" i="1" s="1"/>
  <c r="P58" i="4"/>
  <c r="E34" i="1" s="1"/>
  <c r="K16" i="1"/>
  <c r="C32" i="1"/>
  <c r="R58" i="3"/>
  <c r="G32" i="1" s="1"/>
  <c r="I32" i="1"/>
  <c r="F32" i="1"/>
  <c r="P58" i="3"/>
  <c r="E32" i="1" s="1"/>
  <c r="S58" i="3"/>
  <c r="H32" i="1" s="1"/>
  <c r="M58" i="3"/>
  <c r="B32" i="1" s="1"/>
  <c r="K14" i="1"/>
  <c r="L58" i="6"/>
  <c r="S58" i="2"/>
  <c r="R58" i="2"/>
  <c r="M58" i="2"/>
  <c r="P58" i="2"/>
  <c r="P57" i="5"/>
  <c r="N57" i="5"/>
  <c r="Q57" i="5"/>
  <c r="M57" i="5"/>
  <c r="I57" i="3"/>
  <c r="I57" i="2"/>
  <c r="K57" i="2" s="1"/>
  <c r="H57" i="6"/>
  <c r="L57" i="4"/>
  <c r="U56" i="5"/>
  <c r="T56" i="5"/>
  <c r="O56" i="5"/>
  <c r="U56" i="3"/>
  <c r="T56" i="3"/>
  <c r="Q56" i="3"/>
  <c r="O56" i="3"/>
  <c r="N56" i="3"/>
  <c r="F56" i="3"/>
  <c r="T56" i="2"/>
  <c r="Q56" i="2"/>
  <c r="O56" i="2"/>
  <c r="U58" i="6" l="1"/>
  <c r="J38" i="1" s="1"/>
  <c r="J32" i="1"/>
  <c r="N58" i="6"/>
  <c r="I30" i="1"/>
  <c r="T58" i="6"/>
  <c r="I38" i="1" s="1"/>
  <c r="Q58" i="6"/>
  <c r="F38" i="1" s="1"/>
  <c r="F30" i="1"/>
  <c r="P58" i="6"/>
  <c r="E30" i="1"/>
  <c r="O58" i="6"/>
  <c r="D38" i="1" s="1"/>
  <c r="D30" i="1"/>
  <c r="M58" i="6"/>
  <c r="B30" i="1"/>
  <c r="R58" i="6"/>
  <c r="G38" i="1" s="1"/>
  <c r="G30" i="1"/>
  <c r="S58" i="6"/>
  <c r="H38" i="1" s="1"/>
  <c r="H30" i="1"/>
  <c r="J57" i="3"/>
  <c r="K57" i="3"/>
  <c r="K57" i="6"/>
  <c r="J57" i="2"/>
  <c r="I57" i="6"/>
  <c r="P57" i="4"/>
  <c r="S57" i="4"/>
  <c r="R57" i="4"/>
  <c r="M57" i="4"/>
  <c r="N56" i="2"/>
  <c r="F56" i="2"/>
  <c r="W56" i="6"/>
  <c r="D56" i="6"/>
  <c r="C56" i="6"/>
  <c r="B56" i="6"/>
  <c r="K56" i="5"/>
  <c r="J56" i="5"/>
  <c r="E56" i="5"/>
  <c r="V56" i="5" s="1"/>
  <c r="E56" i="4"/>
  <c r="V56" i="4" s="1"/>
  <c r="E56" i="3"/>
  <c r="E56" i="2"/>
  <c r="V56" i="2" s="1"/>
  <c r="L57" i="3" l="1"/>
  <c r="J57" i="6"/>
  <c r="L57" i="2"/>
  <c r="E56" i="6"/>
  <c r="H56" i="5"/>
  <c r="G56" i="4"/>
  <c r="V56" i="3"/>
  <c r="G56" i="3"/>
  <c r="G56" i="2"/>
  <c r="Q57" i="3" l="1"/>
  <c r="U57" i="3"/>
  <c r="T57" i="3"/>
  <c r="M57" i="3"/>
  <c r="S57" i="3"/>
  <c r="R57" i="3"/>
  <c r="P57" i="3"/>
  <c r="L57" i="6"/>
  <c r="S57" i="2"/>
  <c r="P57" i="2"/>
  <c r="M57" i="2"/>
  <c r="R57" i="2"/>
  <c r="L56" i="5"/>
  <c r="Q56" i="5" s="1"/>
  <c r="H56" i="4"/>
  <c r="V56" i="6"/>
  <c r="G56" i="6"/>
  <c r="F56" i="6"/>
  <c r="S56" i="5"/>
  <c r="R56" i="5"/>
  <c r="P56" i="5"/>
  <c r="H56" i="3"/>
  <c r="H56" i="2"/>
  <c r="U57" i="6" l="1"/>
  <c r="P57" i="6"/>
  <c r="O57" i="6"/>
  <c r="R57" i="6"/>
  <c r="S57" i="6"/>
  <c r="Q57" i="6"/>
  <c r="T57" i="6"/>
  <c r="M57" i="6"/>
  <c r="N57" i="6"/>
  <c r="M56" i="5"/>
  <c r="N56" i="5"/>
  <c r="I56" i="4"/>
  <c r="I56" i="3"/>
  <c r="K56" i="3" s="1"/>
  <c r="I56" i="2"/>
  <c r="H56" i="6"/>
  <c r="J56" i="3"/>
  <c r="O55" i="5"/>
  <c r="U55" i="4"/>
  <c r="T55" i="4"/>
  <c r="N55" i="4"/>
  <c r="U55" i="3"/>
  <c r="T55" i="3"/>
  <c r="N55" i="3"/>
  <c r="N55" i="2"/>
  <c r="J56" i="4" l="1"/>
  <c r="K56" i="4"/>
  <c r="L56" i="3"/>
  <c r="J56" i="2"/>
  <c r="I56" i="6"/>
  <c r="K56" i="2"/>
  <c r="R56" i="3"/>
  <c r="P56" i="3"/>
  <c r="S56" i="3"/>
  <c r="W55" i="6"/>
  <c r="D55" i="6"/>
  <c r="C55" i="6"/>
  <c r="B55" i="6"/>
  <c r="K55" i="5"/>
  <c r="J55" i="5"/>
  <c r="E55" i="5"/>
  <c r="H55" i="5" s="1"/>
  <c r="E55" i="4"/>
  <c r="V55" i="4" s="1"/>
  <c r="E55" i="3"/>
  <c r="V55" i="3" s="1"/>
  <c r="E55" i="2"/>
  <c r="G55" i="2" s="1"/>
  <c r="L56" i="4" l="1"/>
  <c r="M56" i="3"/>
  <c r="K56" i="6"/>
  <c r="L56" i="2"/>
  <c r="J56" i="6"/>
  <c r="F55" i="4"/>
  <c r="F55" i="3"/>
  <c r="E55" i="6"/>
  <c r="F55" i="2"/>
  <c r="V55" i="5"/>
  <c r="L55" i="5"/>
  <c r="G55" i="4"/>
  <c r="G55" i="3"/>
  <c r="V55" i="2"/>
  <c r="U56" i="4" l="1"/>
  <c r="T56" i="4"/>
  <c r="O56" i="4"/>
  <c r="P56" i="4"/>
  <c r="S56" i="4"/>
  <c r="R56" i="4"/>
  <c r="Q56" i="4"/>
  <c r="M56" i="4"/>
  <c r="U56" i="6"/>
  <c r="L56" i="6"/>
  <c r="P56" i="2"/>
  <c r="M56" i="2"/>
  <c r="S56" i="2"/>
  <c r="R56" i="2"/>
  <c r="Q55" i="5"/>
  <c r="T55" i="5"/>
  <c r="U55" i="5"/>
  <c r="G55" i="6"/>
  <c r="F55" i="6"/>
  <c r="H55" i="2"/>
  <c r="V55" i="6"/>
  <c r="R55" i="5"/>
  <c r="N55" i="5"/>
  <c r="S55" i="5"/>
  <c r="M55" i="5"/>
  <c r="P55" i="5"/>
  <c r="H55" i="4"/>
  <c r="H55" i="3"/>
  <c r="T56" i="6" l="1"/>
  <c r="O56" i="6"/>
  <c r="M56" i="6"/>
  <c r="Q56" i="6"/>
  <c r="R56" i="6"/>
  <c r="S56" i="6"/>
  <c r="P56" i="6"/>
  <c r="N56" i="6"/>
  <c r="I55" i="4"/>
  <c r="J55" i="4" s="1"/>
  <c r="I55" i="3"/>
  <c r="J55" i="3" s="1"/>
  <c r="I55" i="2"/>
  <c r="H55" i="6"/>
  <c r="Q54" i="3"/>
  <c r="U54" i="5"/>
  <c r="T54" i="5"/>
  <c r="U54" i="4"/>
  <c r="T54" i="4"/>
  <c r="Q54" i="4"/>
  <c r="O54" i="4"/>
  <c r="N54" i="4"/>
  <c r="F54" i="4"/>
  <c r="U54" i="3"/>
  <c r="T54" i="3"/>
  <c r="O54" i="3"/>
  <c r="N54" i="3"/>
  <c r="F54" i="3"/>
  <c r="K55" i="4" l="1"/>
  <c r="K55" i="3"/>
  <c r="I55" i="6"/>
  <c r="K55" i="2"/>
  <c r="J55" i="2"/>
  <c r="N54" i="2"/>
  <c r="F54" i="2"/>
  <c r="L55" i="4" l="1"/>
  <c r="L55" i="3"/>
  <c r="K55" i="6"/>
  <c r="L55" i="2"/>
  <c r="J55" i="6"/>
  <c r="W54" i="6"/>
  <c r="D54" i="6"/>
  <c r="C54" i="6"/>
  <c r="B54" i="6"/>
  <c r="K54" i="5"/>
  <c r="J54" i="5"/>
  <c r="E54" i="5"/>
  <c r="V54" i="5" s="1"/>
  <c r="E54" i="4"/>
  <c r="V54" i="4" s="1"/>
  <c r="E54" i="3"/>
  <c r="V54" i="3" s="1"/>
  <c r="E54" i="2"/>
  <c r="V54" i="2" s="1"/>
  <c r="Q55" i="4" l="1"/>
  <c r="O55" i="4"/>
  <c r="S55" i="4"/>
  <c r="P55" i="4"/>
  <c r="R55" i="4"/>
  <c r="M55" i="4"/>
  <c r="Q55" i="3"/>
  <c r="O55" i="3"/>
  <c r="P55" i="3"/>
  <c r="M55" i="3"/>
  <c r="S55" i="3"/>
  <c r="R55" i="3"/>
  <c r="L55" i="6"/>
  <c r="O55" i="2"/>
  <c r="Q55" i="2"/>
  <c r="R55" i="2"/>
  <c r="T55" i="2"/>
  <c r="S55" i="2"/>
  <c r="P55" i="2"/>
  <c r="M55" i="2"/>
  <c r="V54" i="6"/>
  <c r="E54" i="6"/>
  <c r="H54" i="5"/>
  <c r="G54" i="4"/>
  <c r="G54" i="3"/>
  <c r="G54" i="2"/>
  <c r="U55" i="6" l="1"/>
  <c r="O55" i="6"/>
  <c r="N55" i="6"/>
  <c r="S55" i="6"/>
  <c r="R55" i="6"/>
  <c r="M55" i="6"/>
  <c r="P55" i="6"/>
  <c r="T55" i="6"/>
  <c r="Q55" i="6"/>
  <c r="L54" i="5"/>
  <c r="P54" i="5" s="1"/>
  <c r="H54" i="4"/>
  <c r="G54" i="6"/>
  <c r="F54" i="6"/>
  <c r="H54" i="3"/>
  <c r="H54" i="2"/>
  <c r="N54" i="5" l="1"/>
  <c r="M54" i="5"/>
  <c r="R54" i="5"/>
  <c r="S54" i="5"/>
  <c r="Q54" i="5"/>
  <c r="O54" i="5"/>
  <c r="I54" i="4"/>
  <c r="I54" i="3"/>
  <c r="I54" i="2"/>
  <c r="H54" i="6"/>
  <c r="J54" i="2"/>
  <c r="U53" i="5"/>
  <c r="T53" i="5"/>
  <c r="O53" i="5"/>
  <c r="U53" i="4"/>
  <c r="T53" i="4"/>
  <c r="O53" i="4"/>
  <c r="N53" i="4"/>
  <c r="F53" i="4"/>
  <c r="J54" i="4" l="1"/>
  <c r="K54" i="4"/>
  <c r="K54" i="3"/>
  <c r="J54" i="3"/>
  <c r="J54" i="6"/>
  <c r="K54" i="2"/>
  <c r="I54" i="6"/>
  <c r="T53" i="2"/>
  <c r="Q53" i="2"/>
  <c r="O53" i="2"/>
  <c r="N53" i="2"/>
  <c r="F53" i="2"/>
  <c r="W53" i="6"/>
  <c r="D53" i="6"/>
  <c r="C53" i="6"/>
  <c r="B53" i="6"/>
  <c r="K53" i="5"/>
  <c r="J53" i="5"/>
  <c r="E53" i="5"/>
  <c r="V53" i="5" s="1"/>
  <c r="E53" i="4"/>
  <c r="G53" i="4" s="1"/>
  <c r="E53" i="3"/>
  <c r="V53" i="3" s="1"/>
  <c r="E53" i="2"/>
  <c r="G53" i="2" s="1"/>
  <c r="L54" i="4" l="1"/>
  <c r="L54" i="3"/>
  <c r="K54" i="6"/>
  <c r="L54" i="2"/>
  <c r="F53" i="3"/>
  <c r="E53" i="6"/>
  <c r="H53" i="5"/>
  <c r="V53" i="4"/>
  <c r="G53" i="3"/>
  <c r="V53" i="2"/>
  <c r="M54" i="4" l="1"/>
  <c r="S54" i="4"/>
  <c r="P54" i="4"/>
  <c r="R54" i="4"/>
  <c r="P54" i="3"/>
  <c r="M54" i="3"/>
  <c r="S54" i="3"/>
  <c r="R54" i="3"/>
  <c r="L54" i="6"/>
  <c r="T54" i="2"/>
  <c r="Q54" i="2"/>
  <c r="O54" i="2"/>
  <c r="P54" i="2"/>
  <c r="M54" i="2"/>
  <c r="S54" i="2"/>
  <c r="R54" i="2"/>
  <c r="L53" i="5"/>
  <c r="P53" i="5" s="1"/>
  <c r="H53" i="4"/>
  <c r="H53" i="3"/>
  <c r="F53" i="6"/>
  <c r="G53" i="6"/>
  <c r="H53" i="2"/>
  <c r="I53" i="2" s="1"/>
  <c r="H53" i="6"/>
  <c r="V53" i="6"/>
  <c r="U54" i="6" l="1"/>
  <c r="N54" i="6"/>
  <c r="M54" i="6"/>
  <c r="T54" i="6"/>
  <c r="R54" i="6"/>
  <c r="P54" i="6"/>
  <c r="Q54" i="6"/>
  <c r="S54" i="6"/>
  <c r="O54" i="6"/>
  <c r="M53" i="5"/>
  <c r="Q53" i="5"/>
  <c r="S53" i="5"/>
  <c r="R53" i="5"/>
  <c r="N53" i="5"/>
  <c r="I53" i="4"/>
  <c r="I53" i="3"/>
  <c r="J53" i="2"/>
  <c r="K53" i="2"/>
  <c r="U52" i="5"/>
  <c r="T52" i="5"/>
  <c r="O52" i="5"/>
  <c r="U52" i="3"/>
  <c r="T52" i="3"/>
  <c r="U52" i="4"/>
  <c r="T52" i="4"/>
  <c r="Q52" i="4"/>
  <c r="N52" i="4"/>
  <c r="F52" i="4"/>
  <c r="O52" i="3"/>
  <c r="F52" i="3"/>
  <c r="T52" i="2"/>
  <c r="O52" i="2"/>
  <c r="N52" i="2"/>
  <c r="Q52" i="2"/>
  <c r="J53" i="4" l="1"/>
  <c r="K53" i="4"/>
  <c r="J53" i="3"/>
  <c r="K53" i="3"/>
  <c r="I53" i="6"/>
  <c r="L53" i="2"/>
  <c r="M53" i="2"/>
  <c r="F52" i="2"/>
  <c r="J53" i="6" l="1"/>
  <c r="L53" i="4"/>
  <c r="K53" i="6"/>
  <c r="L53" i="3"/>
  <c r="S53" i="2"/>
  <c r="P53" i="2"/>
  <c r="R53" i="2"/>
  <c r="W52" i="6"/>
  <c r="D52" i="6"/>
  <c r="C52" i="6"/>
  <c r="B52" i="6"/>
  <c r="K52" i="5"/>
  <c r="J52" i="5"/>
  <c r="E52" i="5"/>
  <c r="V52" i="5" s="1"/>
  <c r="E52" i="4"/>
  <c r="V52" i="4" s="1"/>
  <c r="E52" i="3"/>
  <c r="V52" i="3" s="1"/>
  <c r="E52" i="2"/>
  <c r="V52" i="2" s="1"/>
  <c r="M53" i="4" l="1"/>
  <c r="Q53" i="4"/>
  <c r="S53" i="4"/>
  <c r="R53" i="4"/>
  <c r="P53" i="4"/>
  <c r="T53" i="3"/>
  <c r="U53" i="3"/>
  <c r="O53" i="3"/>
  <c r="M53" i="3"/>
  <c r="P53" i="3"/>
  <c r="S53" i="3"/>
  <c r="R53" i="3"/>
  <c r="Q53" i="3"/>
  <c r="N53" i="3"/>
  <c r="L53" i="6"/>
  <c r="V52" i="6"/>
  <c r="H52" i="2"/>
  <c r="E52" i="6"/>
  <c r="H52" i="5"/>
  <c r="G52" i="4"/>
  <c r="G52" i="3"/>
  <c r="G52" i="2"/>
  <c r="Q53" i="6" l="1"/>
  <c r="P53" i="6"/>
  <c r="U53" i="6"/>
  <c r="T53" i="6"/>
  <c r="M53" i="6"/>
  <c r="R53" i="6"/>
  <c r="O53" i="6"/>
  <c r="N53" i="6"/>
  <c r="S53" i="6"/>
  <c r="L52" i="5"/>
  <c r="M52" i="5" s="1"/>
  <c r="H52" i="4"/>
  <c r="H52" i="3"/>
  <c r="I52" i="2"/>
  <c r="F52" i="6"/>
  <c r="G52" i="6"/>
  <c r="U51" i="5"/>
  <c r="T51" i="5"/>
  <c r="O51" i="5"/>
  <c r="O51" i="4"/>
  <c r="U51" i="3"/>
  <c r="T51" i="3"/>
  <c r="Q51" i="3"/>
  <c r="O51" i="3"/>
  <c r="N51" i="3"/>
  <c r="F51" i="3"/>
  <c r="S52" i="5" l="1"/>
  <c r="N52" i="5"/>
  <c r="R52" i="5"/>
  <c r="P52" i="5"/>
  <c r="Q52" i="5"/>
  <c r="H52" i="6"/>
  <c r="I52" i="4"/>
  <c r="I52" i="3"/>
  <c r="J52" i="2"/>
  <c r="K52" i="2"/>
  <c r="T51" i="2"/>
  <c r="Q51" i="2"/>
  <c r="O51" i="2"/>
  <c r="N51" i="2"/>
  <c r="F51" i="2"/>
  <c r="J52" i="4" l="1"/>
  <c r="K52" i="4"/>
  <c r="K52" i="3"/>
  <c r="J52" i="3"/>
  <c r="I52" i="6"/>
  <c r="L52" i="2"/>
  <c r="W51" i="6"/>
  <c r="D51" i="6"/>
  <c r="C51" i="6"/>
  <c r="B51" i="6"/>
  <c r="K51" i="5"/>
  <c r="J51" i="5"/>
  <c r="E51" i="5"/>
  <c r="V51" i="5" s="1"/>
  <c r="E51" i="4"/>
  <c r="V51" i="4" s="1"/>
  <c r="E51" i="3"/>
  <c r="V51" i="3" s="1"/>
  <c r="E51" i="2"/>
  <c r="V51" i="2" s="1"/>
  <c r="L52" i="4" l="1"/>
  <c r="J52" i="6"/>
  <c r="K52" i="6"/>
  <c r="L52" i="3"/>
  <c r="L52" i="6" s="1"/>
  <c r="S52" i="2"/>
  <c r="P52" i="2"/>
  <c r="M52" i="2"/>
  <c r="R52" i="2"/>
  <c r="E51" i="6"/>
  <c r="V51" i="6"/>
  <c r="H51" i="5"/>
  <c r="G51" i="4"/>
  <c r="F51" i="4"/>
  <c r="G51" i="3"/>
  <c r="G51" i="2"/>
  <c r="O52" i="4" l="1"/>
  <c r="M52" i="4"/>
  <c r="S52" i="4"/>
  <c r="P52" i="4"/>
  <c r="R52" i="4"/>
  <c r="Q52" i="3"/>
  <c r="N52" i="3"/>
  <c r="P52" i="3"/>
  <c r="M52" i="3"/>
  <c r="R52" i="3"/>
  <c r="S52" i="3"/>
  <c r="L51" i="5"/>
  <c r="Q51" i="5" s="1"/>
  <c r="H51" i="4"/>
  <c r="H51" i="3"/>
  <c r="F51" i="6"/>
  <c r="G51" i="6"/>
  <c r="M51" i="5"/>
  <c r="P51" i="5"/>
  <c r="H51" i="2"/>
  <c r="U50" i="5"/>
  <c r="T50" i="5"/>
  <c r="U50" i="4"/>
  <c r="T50" i="4"/>
  <c r="O50" i="4"/>
  <c r="O50" i="3"/>
  <c r="O52" i="6" l="1"/>
  <c r="S52" i="6"/>
  <c r="Q52" i="6"/>
  <c r="R52" i="6"/>
  <c r="T52" i="6"/>
  <c r="P52" i="6"/>
  <c r="M52" i="6"/>
  <c r="U52" i="6"/>
  <c r="N52" i="6"/>
  <c r="N51" i="5"/>
  <c r="S51" i="5"/>
  <c r="R51" i="5"/>
  <c r="I51" i="4"/>
  <c r="I51" i="3"/>
  <c r="I51" i="2"/>
  <c r="H51" i="6"/>
  <c r="J51" i="2"/>
  <c r="T50" i="2"/>
  <c r="O50" i="2"/>
  <c r="N50" i="2"/>
  <c r="F50" i="2"/>
  <c r="J51" i="4" l="1"/>
  <c r="K51" i="4"/>
  <c r="J51" i="3"/>
  <c r="K51" i="3"/>
  <c r="J51" i="6"/>
  <c r="K51" i="2"/>
  <c r="I51" i="6"/>
  <c r="W50" i="6"/>
  <c r="D50" i="6"/>
  <c r="C50" i="6"/>
  <c r="B50" i="6"/>
  <c r="J50" i="5"/>
  <c r="K50" i="5"/>
  <c r="E50" i="5"/>
  <c r="V50" i="5" s="1"/>
  <c r="E50" i="4"/>
  <c r="V50" i="4" s="1"/>
  <c r="E50" i="3"/>
  <c r="F50" i="3" s="1"/>
  <c r="E50" i="2"/>
  <c r="V50" i="2" s="1"/>
  <c r="L51" i="4" l="1"/>
  <c r="L51" i="3"/>
  <c r="K51" i="6"/>
  <c r="L51" i="2"/>
  <c r="E50" i="6"/>
  <c r="H50" i="5"/>
  <c r="G50" i="4"/>
  <c r="F50" i="4"/>
  <c r="V50" i="3"/>
  <c r="G50" i="3"/>
  <c r="G50" i="2"/>
  <c r="U51" i="4" l="1"/>
  <c r="T51" i="4"/>
  <c r="N51" i="4"/>
  <c r="M51" i="4"/>
  <c r="S51" i="4"/>
  <c r="P51" i="4"/>
  <c r="R51" i="4"/>
  <c r="Q51" i="4"/>
  <c r="M51" i="3"/>
  <c r="S51" i="3"/>
  <c r="P51" i="3"/>
  <c r="R51" i="3"/>
  <c r="L51" i="6"/>
  <c r="M51" i="2"/>
  <c r="P51" i="2"/>
  <c r="S51" i="2"/>
  <c r="R51" i="2"/>
  <c r="L50" i="5"/>
  <c r="N50" i="5" s="1"/>
  <c r="H50" i="4"/>
  <c r="V50" i="6"/>
  <c r="H50" i="3"/>
  <c r="G50" i="6"/>
  <c r="F50" i="6"/>
  <c r="H50" i="2"/>
  <c r="U49" i="5"/>
  <c r="T49" i="5"/>
  <c r="O49" i="5"/>
  <c r="N49" i="4"/>
  <c r="U49" i="3"/>
  <c r="T49" i="3"/>
  <c r="Q49" i="3"/>
  <c r="O49" i="3"/>
  <c r="N49" i="3"/>
  <c r="F49" i="3"/>
  <c r="F49" i="2"/>
  <c r="U51" i="6" l="1"/>
  <c r="P51" i="6"/>
  <c r="Q51" i="6"/>
  <c r="T51" i="6"/>
  <c r="N51" i="6"/>
  <c r="M51" i="6"/>
  <c r="R51" i="6"/>
  <c r="O51" i="6"/>
  <c r="S51" i="6"/>
  <c r="Q50" i="5"/>
  <c r="P50" i="5"/>
  <c r="R50" i="5"/>
  <c r="S50" i="5"/>
  <c r="M50" i="5"/>
  <c r="O50" i="5"/>
  <c r="I50" i="4"/>
  <c r="I50" i="3"/>
  <c r="I50" i="2"/>
  <c r="H50" i="6"/>
  <c r="K50" i="2"/>
  <c r="W49" i="6"/>
  <c r="D49" i="6"/>
  <c r="C49" i="6"/>
  <c r="B49" i="6"/>
  <c r="K49" i="5"/>
  <c r="J49" i="5"/>
  <c r="E49" i="5"/>
  <c r="H49" i="5" s="1"/>
  <c r="E49" i="4"/>
  <c r="G49" i="4" s="1"/>
  <c r="E49" i="3"/>
  <c r="V49" i="3" s="1"/>
  <c r="E49" i="2"/>
  <c r="K50" i="4" l="1"/>
  <c r="J50" i="4"/>
  <c r="K50" i="3"/>
  <c r="J50" i="3"/>
  <c r="K50" i="6"/>
  <c r="J50" i="2"/>
  <c r="I50" i="6"/>
  <c r="E49" i="6"/>
  <c r="H49" i="2"/>
  <c r="V49" i="5"/>
  <c r="L49" i="5"/>
  <c r="V49" i="4"/>
  <c r="F49" i="4"/>
  <c r="G49" i="3"/>
  <c r="V49" i="2"/>
  <c r="G49" i="2"/>
  <c r="L50" i="4" l="1"/>
  <c r="L50" i="3"/>
  <c r="J50" i="6"/>
  <c r="L50" i="2"/>
  <c r="P49" i="5"/>
  <c r="H49" i="4"/>
  <c r="H49" i="6" s="1"/>
  <c r="H49" i="3"/>
  <c r="I49" i="2"/>
  <c r="F49" i="6"/>
  <c r="G49" i="6"/>
  <c r="V49" i="6"/>
  <c r="R49" i="5"/>
  <c r="S49" i="5"/>
  <c r="N49" i="5"/>
  <c r="M49" i="5"/>
  <c r="Q49" i="5"/>
  <c r="N50" i="4" l="1"/>
  <c r="M50" i="4"/>
  <c r="R50" i="4"/>
  <c r="Q50" i="4"/>
  <c r="S50" i="4"/>
  <c r="P50" i="4"/>
  <c r="S50" i="3"/>
  <c r="T50" i="3"/>
  <c r="U50" i="3"/>
  <c r="Q50" i="3"/>
  <c r="N50" i="3"/>
  <c r="M50" i="3"/>
  <c r="P50" i="3"/>
  <c r="R50" i="3"/>
  <c r="L50" i="6"/>
  <c r="M50" i="2"/>
  <c r="Q50" i="2"/>
  <c r="R50" i="2"/>
  <c r="S50" i="2"/>
  <c r="P50" i="2"/>
  <c r="I49" i="4"/>
  <c r="I49" i="3"/>
  <c r="J49" i="2"/>
  <c r="L49" i="2" s="1"/>
  <c r="K49" i="2"/>
  <c r="U50" i="6" l="1"/>
  <c r="O50" i="6"/>
  <c r="S50" i="6"/>
  <c r="R50" i="6"/>
  <c r="P50" i="6"/>
  <c r="Q50" i="6"/>
  <c r="M50" i="6"/>
  <c r="N50" i="6"/>
  <c r="T50" i="6"/>
  <c r="K49" i="4"/>
  <c r="J49" i="4"/>
  <c r="K49" i="3"/>
  <c r="J49" i="3"/>
  <c r="J49" i="6" s="1"/>
  <c r="I49" i="6"/>
  <c r="T49" i="2"/>
  <c r="N49" i="2"/>
  <c r="Q49" i="2"/>
  <c r="P49" i="2"/>
  <c r="S49" i="2"/>
  <c r="R49" i="2"/>
  <c r="O49" i="2"/>
  <c r="M49" i="2"/>
  <c r="U48" i="5"/>
  <c r="T48" i="5"/>
  <c r="O48" i="5"/>
  <c r="U48" i="4"/>
  <c r="T48" i="4"/>
  <c r="Q48" i="4"/>
  <c r="O48" i="4"/>
  <c r="N48" i="4"/>
  <c r="U48" i="3"/>
  <c r="T48" i="3"/>
  <c r="Q48" i="3"/>
  <c r="O48" i="3"/>
  <c r="N48" i="3"/>
  <c r="L49" i="4" l="1"/>
  <c r="L49" i="3"/>
  <c r="K49" i="6"/>
  <c r="T48" i="2"/>
  <c r="N48" i="2"/>
  <c r="F48" i="2"/>
  <c r="M49" i="4" l="1"/>
  <c r="T49" i="4"/>
  <c r="U49" i="4"/>
  <c r="Q49" i="4"/>
  <c r="O49" i="4"/>
  <c r="S49" i="4"/>
  <c r="R49" i="4"/>
  <c r="P49" i="4"/>
  <c r="S49" i="3"/>
  <c r="R49" i="3"/>
  <c r="P49" i="3"/>
  <c r="M49" i="3"/>
  <c r="L49" i="6"/>
  <c r="W48" i="6"/>
  <c r="D48" i="6"/>
  <c r="C48" i="6"/>
  <c r="B48" i="6"/>
  <c r="K48" i="5"/>
  <c r="J48" i="5"/>
  <c r="E48" i="5"/>
  <c r="V48" i="5" s="1"/>
  <c r="E48" i="4"/>
  <c r="F48" i="4" s="1"/>
  <c r="E48" i="3"/>
  <c r="V48" i="3" s="1"/>
  <c r="E48" i="2"/>
  <c r="O49" i="6" l="1"/>
  <c r="S49" i="6"/>
  <c r="T49" i="6"/>
  <c r="M49" i="6"/>
  <c r="Q49" i="6"/>
  <c r="R49" i="6"/>
  <c r="N49" i="6"/>
  <c r="P49" i="6"/>
  <c r="U49" i="6"/>
  <c r="E48" i="6"/>
  <c r="H48" i="2"/>
  <c r="H48" i="5"/>
  <c r="H48" i="4"/>
  <c r="V48" i="4"/>
  <c r="G48" i="4"/>
  <c r="G48" i="3"/>
  <c r="F48" i="3"/>
  <c r="V48" i="2"/>
  <c r="G48" i="2"/>
  <c r="L48" i="5" l="1"/>
  <c r="R48" i="5" s="1"/>
  <c r="I48" i="4"/>
  <c r="H48" i="3"/>
  <c r="I48" i="2"/>
  <c r="H48" i="6"/>
  <c r="G48" i="6"/>
  <c r="F48" i="6"/>
  <c r="V48" i="6"/>
  <c r="K48" i="4"/>
  <c r="J48" i="4"/>
  <c r="K48" i="2"/>
  <c r="J48" i="2"/>
  <c r="O47" i="5"/>
  <c r="O47" i="4"/>
  <c r="N47" i="4"/>
  <c r="F47" i="4"/>
  <c r="U47" i="3"/>
  <c r="T47" i="3"/>
  <c r="Q47" i="3"/>
  <c r="O47" i="3"/>
  <c r="N47" i="3"/>
  <c r="T47" i="2"/>
  <c r="Q47" i="2"/>
  <c r="O47" i="2"/>
  <c r="N47" i="2"/>
  <c r="F47" i="2"/>
  <c r="N48" i="5" l="1"/>
  <c r="Q48" i="5"/>
  <c r="P48" i="5"/>
  <c r="S48" i="5"/>
  <c r="M48" i="5"/>
  <c r="I48" i="3"/>
  <c r="L48" i="4"/>
  <c r="L48" i="2"/>
  <c r="W47" i="6"/>
  <c r="D47" i="6"/>
  <c r="C47" i="6"/>
  <c r="B47" i="6"/>
  <c r="K47" i="5"/>
  <c r="J47" i="5"/>
  <c r="E47" i="5"/>
  <c r="H47" i="5" s="1"/>
  <c r="E47" i="4"/>
  <c r="V47" i="4" s="1"/>
  <c r="E47" i="3"/>
  <c r="V47" i="3" s="1"/>
  <c r="E47" i="2"/>
  <c r="V47" i="2" s="1"/>
  <c r="J48" i="3" l="1"/>
  <c r="K48" i="3"/>
  <c r="I48" i="6"/>
  <c r="Q48" i="2"/>
  <c r="O48" i="2"/>
  <c r="R48" i="4"/>
  <c r="S48" i="4"/>
  <c r="M48" i="4"/>
  <c r="P48" i="4"/>
  <c r="R48" i="2"/>
  <c r="P48" i="2"/>
  <c r="M48" i="2"/>
  <c r="S48" i="2"/>
  <c r="V47" i="6"/>
  <c r="H47" i="2"/>
  <c r="E47" i="6"/>
  <c r="V47" i="5"/>
  <c r="L47" i="5"/>
  <c r="G47" i="4"/>
  <c r="F47" i="3"/>
  <c r="G47" i="3"/>
  <c r="G47" i="2"/>
  <c r="K48" i="6" l="1"/>
  <c r="L48" i="3"/>
  <c r="J48" i="6"/>
  <c r="T47" i="5"/>
  <c r="U47" i="5"/>
  <c r="H47" i="4"/>
  <c r="I47" i="2"/>
  <c r="F47" i="6"/>
  <c r="G47" i="6"/>
  <c r="Q47" i="5"/>
  <c r="P47" i="5"/>
  <c r="S47" i="5"/>
  <c r="N47" i="5"/>
  <c r="M47" i="5"/>
  <c r="R47" i="5"/>
  <c r="H47" i="3"/>
  <c r="K47" i="2"/>
  <c r="J47" i="2"/>
  <c r="P48" i="3" l="1"/>
  <c r="R48" i="3"/>
  <c r="S48" i="3"/>
  <c r="L48" i="6"/>
  <c r="M48" i="3"/>
  <c r="H47" i="6"/>
  <c r="I47" i="4"/>
  <c r="I47" i="3"/>
  <c r="K47" i="3" s="1"/>
  <c r="J47" i="3"/>
  <c r="L47" i="2"/>
  <c r="U46" i="5"/>
  <c r="T46" i="5"/>
  <c r="O46" i="5"/>
  <c r="R48" i="6" l="1"/>
  <c r="P48" i="6"/>
  <c r="Q48" i="6"/>
  <c r="U48" i="6"/>
  <c r="N48" i="6"/>
  <c r="M48" i="6"/>
  <c r="T48" i="6"/>
  <c r="O48" i="6"/>
  <c r="S48" i="6"/>
  <c r="K47" i="4"/>
  <c r="J47" i="4"/>
  <c r="I47" i="6"/>
  <c r="L47" i="3"/>
  <c r="S47" i="3"/>
  <c r="P47" i="3"/>
  <c r="R47" i="3"/>
  <c r="M47" i="3"/>
  <c r="M47" i="2"/>
  <c r="S47" i="2"/>
  <c r="R47" i="2"/>
  <c r="P47" i="2"/>
  <c r="T46" i="4"/>
  <c r="U46" i="4"/>
  <c r="N46" i="4"/>
  <c r="F46" i="4"/>
  <c r="U46" i="3"/>
  <c r="T46" i="3"/>
  <c r="O46" i="3"/>
  <c r="N46" i="3"/>
  <c r="O46" i="2"/>
  <c r="F46" i="2"/>
  <c r="L47" i="4" l="1"/>
  <c r="K47" i="6"/>
  <c r="J47" i="6"/>
  <c r="W46" i="6"/>
  <c r="D46" i="6"/>
  <c r="C46" i="6"/>
  <c r="B46" i="6"/>
  <c r="K46" i="5"/>
  <c r="J46" i="5"/>
  <c r="E46" i="5"/>
  <c r="V46" i="5" s="1"/>
  <c r="E46" i="4"/>
  <c r="E46" i="3"/>
  <c r="F46" i="3" s="1"/>
  <c r="E46" i="2"/>
  <c r="G46" i="2" s="1"/>
  <c r="U47" i="4" l="1"/>
  <c r="T47" i="4"/>
  <c r="P47" i="4"/>
  <c r="M47" i="4"/>
  <c r="R47" i="4"/>
  <c r="S47" i="4"/>
  <c r="Q47" i="4"/>
  <c r="L47" i="6"/>
  <c r="T47" i="6"/>
  <c r="U47" i="6"/>
  <c r="E46" i="6"/>
  <c r="H46" i="5"/>
  <c r="V46" i="4"/>
  <c r="G46" i="4"/>
  <c r="V46" i="3"/>
  <c r="G46" i="3"/>
  <c r="V46" i="2"/>
  <c r="R47" i="6" l="1"/>
  <c r="M47" i="6"/>
  <c r="P47" i="6"/>
  <c r="N47" i="6"/>
  <c r="S47" i="6"/>
  <c r="Q47" i="6"/>
  <c r="O47" i="6"/>
  <c r="L46" i="5"/>
  <c r="R46" i="5" s="1"/>
  <c r="H46" i="4"/>
  <c r="H46" i="3"/>
  <c r="G46" i="6"/>
  <c r="H46" i="2"/>
  <c r="F46" i="6"/>
  <c r="V46" i="6"/>
  <c r="S46" i="5" l="1"/>
  <c r="Q46" i="5"/>
  <c r="P46" i="5"/>
  <c r="M46" i="5"/>
  <c r="N46" i="5"/>
  <c r="I46" i="4"/>
  <c r="I46" i="3"/>
  <c r="I46" i="2"/>
  <c r="H46" i="6"/>
  <c r="T45" i="5"/>
  <c r="U45" i="5"/>
  <c r="O45" i="5"/>
  <c r="U45" i="4"/>
  <c r="T45" i="4"/>
  <c r="O45" i="4"/>
  <c r="N45" i="4"/>
  <c r="J46" i="4" l="1"/>
  <c r="K46" i="4"/>
  <c r="J46" i="3"/>
  <c r="K46" i="3"/>
  <c r="I46" i="6"/>
  <c r="J46" i="2"/>
  <c r="K46" i="2"/>
  <c r="U45" i="3"/>
  <c r="T45" i="3"/>
  <c r="Q45" i="3"/>
  <c r="O45" i="3"/>
  <c r="N45" i="3"/>
  <c r="F45" i="3"/>
  <c r="O45" i="2"/>
  <c r="L46" i="4" l="1"/>
  <c r="L46" i="3"/>
  <c r="K46" i="6"/>
  <c r="J46" i="6"/>
  <c r="L46" i="2"/>
  <c r="W45" i="6"/>
  <c r="D45" i="6"/>
  <c r="C45" i="6"/>
  <c r="B45" i="6"/>
  <c r="J45" i="5"/>
  <c r="K45" i="5"/>
  <c r="E45" i="5"/>
  <c r="V45" i="5" s="1"/>
  <c r="E45" i="4"/>
  <c r="E45" i="3"/>
  <c r="G45" i="3" s="1"/>
  <c r="E45" i="2"/>
  <c r="V45" i="2" s="1"/>
  <c r="O46" i="4" l="1"/>
  <c r="Q46" i="4"/>
  <c r="R46" i="4"/>
  <c r="S46" i="4"/>
  <c r="M46" i="4"/>
  <c r="P46" i="4"/>
  <c r="P46" i="3"/>
  <c r="Q46" i="3"/>
  <c r="R46" i="3"/>
  <c r="S46" i="3"/>
  <c r="M46" i="3"/>
  <c r="L46" i="6"/>
  <c r="N46" i="2"/>
  <c r="M46" i="2"/>
  <c r="T46" i="2"/>
  <c r="Q46" i="2"/>
  <c r="S46" i="2"/>
  <c r="P46" i="2"/>
  <c r="R46" i="2"/>
  <c r="F45" i="2"/>
  <c r="E45" i="6"/>
  <c r="H45" i="5"/>
  <c r="F45" i="4"/>
  <c r="V45" i="4"/>
  <c r="G45" i="4"/>
  <c r="V45" i="3"/>
  <c r="G45" i="2"/>
  <c r="O44" i="5"/>
  <c r="S44" i="5"/>
  <c r="R44" i="5"/>
  <c r="Q44" i="5"/>
  <c r="P44" i="5"/>
  <c r="N44" i="5"/>
  <c r="M44" i="5"/>
  <c r="U46" i="6" l="1"/>
  <c r="Q46" i="6"/>
  <c r="N46" i="6"/>
  <c r="M46" i="6"/>
  <c r="S46" i="6"/>
  <c r="R46" i="6"/>
  <c r="O46" i="6"/>
  <c r="T46" i="6"/>
  <c r="P46" i="6"/>
  <c r="L45" i="5"/>
  <c r="H45" i="4"/>
  <c r="V45" i="6"/>
  <c r="H45" i="3"/>
  <c r="G45" i="6"/>
  <c r="F45" i="6"/>
  <c r="H45" i="2"/>
  <c r="M45" i="5" l="1"/>
  <c r="S45" i="5"/>
  <c r="P45" i="5"/>
  <c r="N45" i="5"/>
  <c r="R45" i="5"/>
  <c r="Q45" i="5"/>
  <c r="I45" i="4"/>
  <c r="I45" i="3"/>
  <c r="I45" i="2"/>
  <c r="H45" i="6"/>
  <c r="N44" i="3"/>
  <c r="U44" i="4"/>
  <c r="T44" i="4"/>
  <c r="Q44" i="4"/>
  <c r="O44" i="4"/>
  <c r="N44" i="4"/>
  <c r="U44" i="3"/>
  <c r="T44" i="3"/>
  <c r="Q44" i="3"/>
  <c r="O44" i="3"/>
  <c r="T44" i="2"/>
  <c r="Q44" i="2"/>
  <c r="O44" i="2"/>
  <c r="N44" i="2"/>
  <c r="F44" i="2"/>
  <c r="K44" i="5"/>
  <c r="J44" i="5"/>
  <c r="E44" i="5"/>
  <c r="H44" i="5" s="1"/>
  <c r="E44" i="4"/>
  <c r="V44" i="4" s="1"/>
  <c r="E44" i="3"/>
  <c r="V44" i="3" s="1"/>
  <c r="E44" i="2"/>
  <c r="G44" i="2" s="1"/>
  <c r="K45" i="4" l="1"/>
  <c r="J45" i="4"/>
  <c r="J45" i="3"/>
  <c r="K45" i="3"/>
  <c r="I45" i="6"/>
  <c r="K45" i="2"/>
  <c r="J45" i="2"/>
  <c r="F44" i="4"/>
  <c r="F44" i="3"/>
  <c r="L44" i="5"/>
  <c r="V44" i="5"/>
  <c r="G44" i="4"/>
  <c r="G44" i="3"/>
  <c r="V44" i="2"/>
  <c r="L45" i="4" l="1"/>
  <c r="L45" i="3"/>
  <c r="J45" i="6"/>
  <c r="L45" i="2"/>
  <c r="K45" i="6"/>
  <c r="U44" i="5"/>
  <c r="T44" i="5"/>
  <c r="H44" i="4"/>
  <c r="H44" i="3"/>
  <c r="I44" i="3" s="1"/>
  <c r="H44" i="2"/>
  <c r="Q45" i="4" l="1"/>
  <c r="S45" i="4"/>
  <c r="M45" i="4"/>
  <c r="P45" i="4"/>
  <c r="R45" i="4"/>
  <c r="P45" i="3"/>
  <c r="M45" i="3"/>
  <c r="S45" i="3"/>
  <c r="R45" i="3"/>
  <c r="T45" i="2"/>
  <c r="Q45" i="2"/>
  <c r="L45" i="6"/>
  <c r="N45" i="2"/>
  <c r="R45" i="2"/>
  <c r="S45" i="2"/>
  <c r="P45" i="2"/>
  <c r="M45" i="2"/>
  <c r="I44" i="4"/>
  <c r="K44" i="3"/>
  <c r="J44" i="3"/>
  <c r="I44" i="2"/>
  <c r="L44" i="3"/>
  <c r="U43" i="5"/>
  <c r="T43" i="5"/>
  <c r="U43" i="4"/>
  <c r="T43" i="4"/>
  <c r="T43" i="3"/>
  <c r="O43" i="5"/>
  <c r="O43" i="4"/>
  <c r="N43" i="4"/>
  <c r="F43" i="4"/>
  <c r="F43" i="3"/>
  <c r="U45" i="6" l="1"/>
  <c r="S45" i="6"/>
  <c r="N45" i="6"/>
  <c r="O45" i="6"/>
  <c r="R45" i="6"/>
  <c r="M45" i="6"/>
  <c r="Q45" i="6"/>
  <c r="P45" i="6"/>
  <c r="T45" i="6"/>
  <c r="J44" i="4"/>
  <c r="K44" i="4"/>
  <c r="K44" i="2"/>
  <c r="J44" i="2"/>
  <c r="R44" i="3"/>
  <c r="P44" i="3"/>
  <c r="M44" i="3"/>
  <c r="S44" i="3"/>
  <c r="T43" i="2"/>
  <c r="Q43" i="2"/>
  <c r="O43" i="2"/>
  <c r="N43" i="2"/>
  <c r="K43" i="5"/>
  <c r="J43" i="5"/>
  <c r="E43" i="5"/>
  <c r="H43" i="5" s="1"/>
  <c r="E43" i="4"/>
  <c r="V43" i="4" s="1"/>
  <c r="E43" i="3"/>
  <c r="V43" i="3" s="1"/>
  <c r="E43" i="2"/>
  <c r="L44" i="4" l="1"/>
  <c r="L44" i="2"/>
  <c r="L43" i="5"/>
  <c r="V43" i="5"/>
  <c r="G43" i="4"/>
  <c r="G43" i="3"/>
  <c r="V43" i="2"/>
  <c r="F43" i="2"/>
  <c r="G43" i="2"/>
  <c r="M44" i="4" l="1"/>
  <c r="S44" i="4"/>
  <c r="P44" i="4"/>
  <c r="R44" i="4"/>
  <c r="S44" i="2"/>
  <c r="R44" i="2"/>
  <c r="P44" i="2"/>
  <c r="M44" i="2"/>
  <c r="H43" i="4"/>
  <c r="H43" i="3"/>
  <c r="H43" i="2"/>
  <c r="T42" i="5"/>
  <c r="U42" i="5"/>
  <c r="U42" i="4"/>
  <c r="T42" i="4"/>
  <c r="U42" i="3"/>
  <c r="T42" i="3"/>
  <c r="O42" i="5"/>
  <c r="Q42" i="4"/>
  <c r="O42" i="4"/>
  <c r="N42" i="4"/>
  <c r="Q42" i="3"/>
  <c r="O42" i="3"/>
  <c r="N42" i="3"/>
  <c r="F42" i="3"/>
  <c r="T42" i="2"/>
  <c r="I43" i="4" l="1"/>
  <c r="I43" i="3"/>
  <c r="J43" i="3" s="1"/>
  <c r="I43" i="2"/>
  <c r="K43" i="2"/>
  <c r="E42" i="5"/>
  <c r="V42" i="5" s="1"/>
  <c r="E42" i="4"/>
  <c r="G42" i="4" s="1"/>
  <c r="E42" i="3"/>
  <c r="G42" i="3" s="1"/>
  <c r="E42" i="2"/>
  <c r="G42" i="2" s="1"/>
  <c r="K43" i="4" l="1"/>
  <c r="J43" i="4"/>
  <c r="K43" i="3"/>
  <c r="L43" i="3"/>
  <c r="S43" i="3" s="1"/>
  <c r="J43" i="2"/>
  <c r="M43" i="3"/>
  <c r="F42" i="4"/>
  <c r="H42" i="5"/>
  <c r="V42" i="4"/>
  <c r="V42" i="3"/>
  <c r="V42" i="2"/>
  <c r="F42" i="2"/>
  <c r="T41" i="3"/>
  <c r="U41" i="3"/>
  <c r="L43" i="4" l="1"/>
  <c r="P43" i="3"/>
  <c r="R43" i="3"/>
  <c r="U43" i="3"/>
  <c r="Q43" i="3"/>
  <c r="O43" i="3"/>
  <c r="N43" i="3"/>
  <c r="L43" i="2"/>
  <c r="K42" i="5"/>
  <c r="H42" i="4"/>
  <c r="I42" i="4"/>
  <c r="K42" i="4" s="1"/>
  <c r="H42" i="3"/>
  <c r="I42" i="3"/>
  <c r="K42" i="3" s="1"/>
  <c r="H42" i="2"/>
  <c r="J42" i="4"/>
  <c r="Q43" i="4" l="1"/>
  <c r="S43" i="4"/>
  <c r="R43" i="4"/>
  <c r="P43" i="4"/>
  <c r="M43" i="4"/>
  <c r="S43" i="2"/>
  <c r="P43" i="2"/>
  <c r="M43" i="2"/>
  <c r="R43" i="2"/>
  <c r="J42" i="5"/>
  <c r="L42" i="4"/>
  <c r="R42" i="4" s="1"/>
  <c r="J42" i="3"/>
  <c r="L42" i="3" s="1"/>
  <c r="I42" i="2"/>
  <c r="L42" i="5"/>
  <c r="M42" i="4"/>
  <c r="S42" i="4"/>
  <c r="P42" i="4"/>
  <c r="R42" i="3" l="1"/>
  <c r="P42" i="3"/>
  <c r="S42" i="3"/>
  <c r="M42" i="3"/>
  <c r="K42" i="2"/>
  <c r="J42" i="2"/>
  <c r="U41" i="4"/>
  <c r="T41" i="4"/>
  <c r="Q41" i="4"/>
  <c r="O41" i="4"/>
  <c r="N41" i="4"/>
  <c r="F41" i="4"/>
  <c r="Q41" i="3"/>
  <c r="O41" i="3"/>
  <c r="N41" i="3"/>
  <c r="F41" i="3"/>
  <c r="T41" i="2"/>
  <c r="O41" i="2"/>
  <c r="N41" i="2"/>
  <c r="L42" i="2" l="1"/>
  <c r="E41" i="5"/>
  <c r="E41" i="4"/>
  <c r="G41" i="4" s="1"/>
  <c r="E41" i="3"/>
  <c r="G41" i="3" s="1"/>
  <c r="E41" i="2"/>
  <c r="O42" i="2" l="1"/>
  <c r="N42" i="2"/>
  <c r="S42" i="2"/>
  <c r="R42" i="2"/>
  <c r="P42" i="2"/>
  <c r="Q42" i="2"/>
  <c r="M42" i="2"/>
  <c r="F41" i="2"/>
  <c r="H41" i="2" s="1"/>
  <c r="V41" i="5"/>
  <c r="V41" i="4"/>
  <c r="V41" i="3"/>
  <c r="V41" i="2"/>
  <c r="G41" i="2"/>
  <c r="H41" i="5" l="1"/>
  <c r="H41" i="4"/>
  <c r="H41" i="3"/>
  <c r="I41" i="2"/>
  <c r="K41" i="2"/>
  <c r="J41" i="2"/>
  <c r="I41" i="5" l="1"/>
  <c r="I41" i="4"/>
  <c r="I41" i="3"/>
  <c r="L41" i="2"/>
  <c r="U40" i="5"/>
  <c r="T40" i="5"/>
  <c r="U40" i="4"/>
  <c r="T40" i="4"/>
  <c r="J41" i="5" l="1"/>
  <c r="K41" i="5"/>
  <c r="J41" i="4"/>
  <c r="K41" i="4"/>
  <c r="J41" i="3"/>
  <c r="K41" i="3"/>
  <c r="Q41" i="2"/>
  <c r="R41" i="2"/>
  <c r="P41" i="2"/>
  <c r="S41" i="2"/>
  <c r="M41" i="2"/>
  <c r="O40" i="5"/>
  <c r="N40" i="5"/>
  <c r="O40" i="4"/>
  <c r="N40" i="4"/>
  <c r="N40" i="3"/>
  <c r="T40" i="2"/>
  <c r="O40" i="2"/>
  <c r="N40" i="2"/>
  <c r="F40" i="2"/>
  <c r="E40" i="5"/>
  <c r="V40" i="5" s="1"/>
  <c r="E40" i="4"/>
  <c r="V40" i="4" s="1"/>
  <c r="E40" i="3"/>
  <c r="F40" i="3" s="1"/>
  <c r="E40" i="2"/>
  <c r="V40" i="2" s="1"/>
  <c r="L41" i="5" l="1"/>
  <c r="L41" i="4"/>
  <c r="L41" i="3"/>
  <c r="F40" i="5"/>
  <c r="G40" i="5"/>
  <c r="G40" i="4"/>
  <c r="F40" i="4"/>
  <c r="G40" i="3"/>
  <c r="V40" i="3"/>
  <c r="G40" i="2"/>
  <c r="S41" i="5" l="1"/>
  <c r="T41" i="5"/>
  <c r="U41" i="5"/>
  <c r="O41" i="5"/>
  <c r="N41" i="5"/>
  <c r="M41" i="5"/>
  <c r="Q41" i="5"/>
  <c r="R41" i="5"/>
  <c r="P41" i="5"/>
  <c r="S41" i="4"/>
  <c r="P41" i="4"/>
  <c r="M41" i="4"/>
  <c r="R41" i="4"/>
  <c r="S41" i="3"/>
  <c r="M41" i="3"/>
  <c r="R41" i="3"/>
  <c r="P41" i="3"/>
  <c r="H40" i="5"/>
  <c r="H40" i="4"/>
  <c r="H40" i="3"/>
  <c r="H40" i="2"/>
  <c r="I40" i="5" l="1"/>
  <c r="I40" i="4"/>
  <c r="I40" i="3"/>
  <c r="I40" i="2"/>
  <c r="O39" i="5"/>
  <c r="N39" i="5"/>
  <c r="F39" i="5"/>
  <c r="O39" i="4"/>
  <c r="N39" i="4"/>
  <c r="T39" i="2"/>
  <c r="K40" i="5" l="1"/>
  <c r="J40" i="5"/>
  <c r="K40" i="4"/>
  <c r="J40" i="4"/>
  <c r="J40" i="3"/>
  <c r="K40" i="3"/>
  <c r="J40" i="2"/>
  <c r="K40" i="2"/>
  <c r="Q39" i="2"/>
  <c r="O39" i="2"/>
  <c r="N39" i="2"/>
  <c r="L40" i="5" l="1"/>
  <c r="L40" i="4"/>
  <c r="L40" i="3"/>
  <c r="L40" i="2"/>
  <c r="E39" i="5"/>
  <c r="V39" i="5" s="1"/>
  <c r="E39" i="4"/>
  <c r="G39" i="4" s="1"/>
  <c r="E39" i="3"/>
  <c r="E39" i="2"/>
  <c r="V39" i="2" s="1"/>
  <c r="S40" i="5" l="1"/>
  <c r="M40" i="5"/>
  <c r="P40" i="5"/>
  <c r="R40" i="5"/>
  <c r="Q40" i="5"/>
  <c r="P40" i="4"/>
  <c r="R40" i="4"/>
  <c r="Q40" i="4"/>
  <c r="M40" i="4"/>
  <c r="S40" i="4"/>
  <c r="R40" i="3"/>
  <c r="T40" i="3"/>
  <c r="O40" i="3"/>
  <c r="M40" i="3"/>
  <c r="U40" i="3"/>
  <c r="S40" i="3"/>
  <c r="Q40" i="3"/>
  <c r="P40" i="3"/>
  <c r="Q40" i="2"/>
  <c r="S40" i="2"/>
  <c r="M40" i="2"/>
  <c r="P40" i="2"/>
  <c r="R40" i="2"/>
  <c r="F39" i="2"/>
  <c r="G39" i="5"/>
  <c r="F39" i="4"/>
  <c r="V39" i="4"/>
  <c r="G39" i="3"/>
  <c r="V39" i="3"/>
  <c r="F39" i="3"/>
  <c r="G39" i="2"/>
  <c r="H39" i="2" s="1"/>
  <c r="T36" i="5"/>
  <c r="T37" i="5"/>
  <c r="U36" i="5"/>
  <c r="U37" i="5"/>
  <c r="U38" i="5"/>
  <c r="T38" i="5"/>
  <c r="T60" i="2" l="1"/>
  <c r="H39" i="5"/>
  <c r="H39" i="4"/>
  <c r="H39" i="3"/>
  <c r="I39" i="2"/>
  <c r="K39" i="2"/>
  <c r="J39" i="2"/>
  <c r="I39" i="5" l="1"/>
  <c r="I39" i="4"/>
  <c r="I39" i="3"/>
  <c r="L39" i="2"/>
  <c r="K39" i="5" l="1"/>
  <c r="J39" i="5"/>
  <c r="K39" i="4"/>
  <c r="J39" i="4"/>
  <c r="K39" i="3"/>
  <c r="J39" i="3"/>
  <c r="S39" i="2"/>
  <c r="R39" i="2"/>
  <c r="P39" i="2"/>
  <c r="M39" i="2"/>
  <c r="Q38" i="5"/>
  <c r="N38" i="5"/>
  <c r="N38" i="4"/>
  <c r="Q38" i="3"/>
  <c r="O38" i="3"/>
  <c r="N38" i="3"/>
  <c r="T38" i="2"/>
  <c r="Q38" i="2"/>
  <c r="O38" i="2"/>
  <c r="N38" i="2"/>
  <c r="F38" i="2"/>
  <c r="L39" i="5" l="1"/>
  <c r="L39" i="4"/>
  <c r="L39" i="3"/>
  <c r="E38" i="5"/>
  <c r="F38" i="5" s="1"/>
  <c r="E38" i="4"/>
  <c r="E38" i="3"/>
  <c r="F38" i="3" s="1"/>
  <c r="E38" i="2"/>
  <c r="Q39" i="5" l="1"/>
  <c r="T39" i="5"/>
  <c r="U39" i="5"/>
  <c r="S39" i="5"/>
  <c r="P39" i="5"/>
  <c r="R39" i="5"/>
  <c r="M39" i="5"/>
  <c r="R39" i="4"/>
  <c r="T39" i="4"/>
  <c r="U39" i="4"/>
  <c r="M39" i="4"/>
  <c r="S39" i="4"/>
  <c r="P39" i="4"/>
  <c r="Q39" i="4"/>
  <c r="R39" i="3"/>
  <c r="N39" i="3"/>
  <c r="U39" i="3"/>
  <c r="T39" i="3"/>
  <c r="Q39" i="3"/>
  <c r="O39" i="3"/>
  <c r="M39" i="3"/>
  <c r="S39" i="3"/>
  <c r="P39" i="3"/>
  <c r="V38" i="5"/>
  <c r="F38" i="4"/>
  <c r="G38" i="3"/>
  <c r="V38" i="2"/>
  <c r="G38" i="5"/>
  <c r="V38" i="4"/>
  <c r="G38" i="4"/>
  <c r="H38" i="3"/>
  <c r="V38" i="3"/>
  <c r="G38" i="2"/>
  <c r="H38" i="5" l="1"/>
  <c r="H38" i="4"/>
  <c r="I38" i="4" s="1"/>
  <c r="I38" i="3"/>
  <c r="H38" i="2"/>
  <c r="K38" i="3"/>
  <c r="J38" i="3"/>
  <c r="Q37" i="5"/>
  <c r="O37" i="5"/>
  <c r="N37" i="5"/>
  <c r="F37" i="5"/>
  <c r="T37" i="4"/>
  <c r="Q37" i="4"/>
  <c r="N37" i="4"/>
  <c r="F37" i="4"/>
  <c r="T37" i="3"/>
  <c r="Q37" i="3"/>
  <c r="O37" i="3"/>
  <c r="N37" i="3"/>
  <c r="F37" i="3"/>
  <c r="I38" i="5" l="1"/>
  <c r="J38" i="4"/>
  <c r="K38" i="4"/>
  <c r="I38" i="2"/>
  <c r="L38" i="3"/>
  <c r="T37" i="2"/>
  <c r="Q37" i="2"/>
  <c r="O37" i="2"/>
  <c r="N37" i="2"/>
  <c r="F37" i="2"/>
  <c r="K38" i="5" l="1"/>
  <c r="J38" i="5"/>
  <c r="L38" i="4"/>
  <c r="Q38" i="4"/>
  <c r="K38" i="2"/>
  <c r="J38" i="2"/>
  <c r="R38" i="3"/>
  <c r="M38" i="3"/>
  <c r="S38" i="3"/>
  <c r="P38" i="3"/>
  <c r="E37" i="5"/>
  <c r="E37" i="4"/>
  <c r="V37" i="4" s="1"/>
  <c r="E37" i="3"/>
  <c r="E37" i="2"/>
  <c r="L38" i="5" l="1"/>
  <c r="S38" i="4"/>
  <c r="R38" i="4"/>
  <c r="P38" i="4"/>
  <c r="O38" i="4"/>
  <c r="M38" i="4"/>
  <c r="L38" i="2"/>
  <c r="G37" i="5"/>
  <c r="V37" i="5"/>
  <c r="G37" i="4"/>
  <c r="V37" i="3"/>
  <c r="G37" i="3"/>
  <c r="V37" i="2"/>
  <c r="G37" i="2"/>
  <c r="O38" i="5" l="1"/>
  <c r="P38" i="5"/>
  <c r="M38" i="5"/>
  <c r="R38" i="5"/>
  <c r="S38" i="5"/>
  <c r="P38" i="2"/>
  <c r="M38" i="2"/>
  <c r="R38" i="2"/>
  <c r="S38" i="2"/>
  <c r="H37" i="5"/>
  <c r="H37" i="4"/>
  <c r="H37" i="3"/>
  <c r="H37" i="2"/>
  <c r="I37" i="5" l="1"/>
  <c r="I37" i="4"/>
  <c r="I37" i="3"/>
  <c r="I37" i="2"/>
  <c r="O36" i="5"/>
  <c r="N36" i="5"/>
  <c r="F36" i="5"/>
  <c r="N36" i="3"/>
  <c r="T36" i="2"/>
  <c r="Q36" i="2"/>
  <c r="K37" i="5" l="1"/>
  <c r="J37" i="5"/>
  <c r="J37" i="4"/>
  <c r="K37" i="4"/>
  <c r="K37" i="3"/>
  <c r="J37" i="3"/>
  <c r="K37" i="2"/>
  <c r="J37" i="2"/>
  <c r="E36" i="5"/>
  <c r="E36" i="4"/>
  <c r="V36" i="4" s="1"/>
  <c r="E36" i="3"/>
  <c r="E36" i="2"/>
  <c r="V36" i="2" s="1"/>
  <c r="L37" i="5" l="1"/>
  <c r="L37" i="4"/>
  <c r="L37" i="3"/>
  <c r="L37" i="2"/>
  <c r="F36" i="3"/>
  <c r="V36" i="5"/>
  <c r="G36" i="5"/>
  <c r="G36" i="4"/>
  <c r="F36" i="4"/>
  <c r="V36" i="3"/>
  <c r="G36" i="3"/>
  <c r="F36" i="2"/>
  <c r="G36" i="2"/>
  <c r="U35" i="5"/>
  <c r="T35" i="5"/>
  <c r="Q35" i="5"/>
  <c r="O35" i="5"/>
  <c r="N35" i="5"/>
  <c r="T35" i="4"/>
  <c r="O35" i="4"/>
  <c r="N35" i="4"/>
  <c r="T35" i="3"/>
  <c r="Q35" i="3"/>
  <c r="N35" i="3"/>
  <c r="F35" i="3"/>
  <c r="T35" i="2"/>
  <c r="Q35" i="2"/>
  <c r="O35" i="2"/>
  <c r="N35" i="2"/>
  <c r="E35" i="5"/>
  <c r="V35" i="5" s="1"/>
  <c r="E35" i="4"/>
  <c r="E35" i="3"/>
  <c r="E35" i="2"/>
  <c r="P37" i="5" l="1"/>
  <c r="M37" i="5"/>
  <c r="R37" i="5"/>
  <c r="S37" i="5"/>
  <c r="U37" i="4"/>
  <c r="M37" i="4"/>
  <c r="O37" i="4"/>
  <c r="P37" i="4"/>
  <c r="S37" i="4"/>
  <c r="R37" i="4"/>
  <c r="U37" i="3"/>
  <c r="S37" i="3"/>
  <c r="M37" i="3"/>
  <c r="R37" i="3"/>
  <c r="P37" i="3"/>
  <c r="S37" i="2"/>
  <c r="P37" i="2"/>
  <c r="R37" i="2"/>
  <c r="M37" i="2"/>
  <c r="H36" i="4"/>
  <c r="H36" i="3"/>
  <c r="H36" i="2"/>
  <c r="H36" i="5"/>
  <c r="F35" i="5"/>
  <c r="F35" i="2"/>
  <c r="G35" i="5"/>
  <c r="F35" i="4"/>
  <c r="V35" i="4"/>
  <c r="G35" i="4"/>
  <c r="V35" i="3"/>
  <c r="G35" i="3"/>
  <c r="G35" i="2"/>
  <c r="V35" i="2"/>
  <c r="I36" i="5" l="1"/>
  <c r="J36" i="5" s="1"/>
  <c r="I36" i="4"/>
  <c r="I36" i="3"/>
  <c r="I36" i="2"/>
  <c r="K36" i="5"/>
  <c r="H35" i="5"/>
  <c r="H35" i="4"/>
  <c r="H35" i="3"/>
  <c r="H35" i="2"/>
  <c r="O34" i="5"/>
  <c r="F34" i="5"/>
  <c r="T34" i="4"/>
  <c r="O34" i="4"/>
  <c r="N34" i="4"/>
  <c r="O34" i="3"/>
  <c r="N34" i="3"/>
  <c r="F34" i="3"/>
  <c r="L36" i="5" l="1"/>
  <c r="S36" i="5" s="1"/>
  <c r="K36" i="4"/>
  <c r="J36" i="4"/>
  <c r="K36" i="3"/>
  <c r="J36" i="3"/>
  <c r="K36" i="2"/>
  <c r="J36" i="2"/>
  <c r="M36" i="5"/>
  <c r="R36" i="5"/>
  <c r="I35" i="5"/>
  <c r="I35" i="4"/>
  <c r="I35" i="3"/>
  <c r="I35" i="2"/>
  <c r="T34" i="2"/>
  <c r="N34" i="2"/>
  <c r="F34" i="2"/>
  <c r="E34" i="5"/>
  <c r="E34" i="4"/>
  <c r="V34" i="4" s="1"/>
  <c r="E34" i="3"/>
  <c r="P36" i="5" l="1"/>
  <c r="Q36" i="5"/>
  <c r="L36" i="4"/>
  <c r="L36" i="3"/>
  <c r="L36" i="2"/>
  <c r="J35" i="5"/>
  <c r="K35" i="5"/>
  <c r="J35" i="4"/>
  <c r="K35" i="4"/>
  <c r="K35" i="3"/>
  <c r="J35" i="3"/>
  <c r="J35" i="2"/>
  <c r="K35" i="2"/>
  <c r="V34" i="5"/>
  <c r="G34" i="5"/>
  <c r="G34" i="4"/>
  <c r="F34" i="4"/>
  <c r="V34" i="3"/>
  <c r="G34" i="3"/>
  <c r="T36" i="4" l="1"/>
  <c r="O36" i="4"/>
  <c r="N36" i="4"/>
  <c r="U36" i="4"/>
  <c r="Q36" i="4"/>
  <c r="M36" i="4"/>
  <c r="R36" i="4"/>
  <c r="P36" i="4"/>
  <c r="S36" i="4"/>
  <c r="T36" i="3"/>
  <c r="Q36" i="3"/>
  <c r="R36" i="3"/>
  <c r="M36" i="3"/>
  <c r="P36" i="3"/>
  <c r="O36" i="3"/>
  <c r="S36" i="3"/>
  <c r="U36" i="3"/>
  <c r="O36" i="2"/>
  <c r="N36" i="2"/>
  <c r="M36" i="2"/>
  <c r="R36" i="2"/>
  <c r="S36" i="2"/>
  <c r="P36" i="2"/>
  <c r="L35" i="5"/>
  <c r="L35" i="4"/>
  <c r="L35" i="3"/>
  <c r="L35" i="2"/>
  <c r="H34" i="5"/>
  <c r="H34" i="4"/>
  <c r="H34" i="3"/>
  <c r="R35" i="5" l="1"/>
  <c r="M35" i="5"/>
  <c r="S35" i="5"/>
  <c r="P35" i="5"/>
  <c r="Q35" i="4"/>
  <c r="P35" i="4"/>
  <c r="U35" i="4"/>
  <c r="S35" i="4"/>
  <c r="M35" i="4"/>
  <c r="R35" i="4"/>
  <c r="S35" i="3"/>
  <c r="O35" i="3"/>
  <c r="R35" i="3"/>
  <c r="P35" i="3"/>
  <c r="M35" i="3"/>
  <c r="U35" i="3"/>
  <c r="M35" i="2"/>
  <c r="P35" i="2"/>
  <c r="S35" i="2"/>
  <c r="R35" i="2"/>
  <c r="I34" i="5"/>
  <c r="I34" i="4"/>
  <c r="I34" i="3"/>
  <c r="J34" i="5" l="1"/>
  <c r="K34" i="5"/>
  <c r="J34" i="4"/>
  <c r="K34" i="4"/>
  <c r="K34" i="3"/>
  <c r="J34" i="3"/>
  <c r="L34" i="5" l="1"/>
  <c r="L34" i="4"/>
  <c r="L34" i="3"/>
  <c r="P34" i="5" l="1"/>
  <c r="N34" i="5"/>
  <c r="U34" i="5"/>
  <c r="T34" i="5"/>
  <c r="Q34" i="5"/>
  <c r="M34" i="5"/>
  <c r="S34" i="5"/>
  <c r="R34" i="5"/>
  <c r="P34" i="4"/>
  <c r="Q34" i="4"/>
  <c r="S34" i="4"/>
  <c r="U34" i="4"/>
  <c r="M34" i="4"/>
  <c r="R34" i="4"/>
  <c r="S34" i="3"/>
  <c r="T34" i="3"/>
  <c r="Q34" i="3"/>
  <c r="P34" i="3"/>
  <c r="U34" i="3"/>
  <c r="M34" i="3"/>
  <c r="R34" i="3"/>
  <c r="E34" i="2" l="1"/>
  <c r="V34" i="2" l="1"/>
  <c r="G34" i="2"/>
  <c r="U33" i="5"/>
  <c r="T33" i="5"/>
  <c r="H34" i="2" l="1"/>
  <c r="I34" i="2" l="1"/>
  <c r="K34" i="2" l="1"/>
  <c r="J34" i="2"/>
  <c r="Q33" i="5"/>
  <c r="N33" i="5"/>
  <c r="F33" i="5"/>
  <c r="T33" i="4"/>
  <c r="N33" i="4"/>
  <c r="T33" i="3"/>
  <c r="Q33" i="3"/>
  <c r="O33" i="3"/>
  <c r="N33" i="3"/>
  <c r="L34" i="2" l="1"/>
  <c r="E33" i="5"/>
  <c r="V33" i="5" s="1"/>
  <c r="E33" i="4"/>
  <c r="V33" i="4" s="1"/>
  <c r="E33" i="3"/>
  <c r="E33" i="2"/>
  <c r="S34" i="2" l="1"/>
  <c r="M34" i="2"/>
  <c r="P34" i="2"/>
  <c r="R34" i="2"/>
  <c r="Q34" i="2"/>
  <c r="O34" i="2"/>
  <c r="V33" i="2"/>
  <c r="F33" i="2"/>
  <c r="F33" i="4"/>
  <c r="F33" i="3"/>
  <c r="G33" i="5"/>
  <c r="G33" i="4"/>
  <c r="V33" i="3"/>
  <c r="G33" i="3"/>
  <c r="G33" i="2"/>
  <c r="H33" i="5" l="1"/>
  <c r="H33" i="4"/>
  <c r="H33" i="3"/>
  <c r="H33" i="2"/>
  <c r="I33" i="2" s="1"/>
  <c r="I33" i="5" l="1"/>
  <c r="I33" i="4"/>
  <c r="I33" i="3"/>
  <c r="K33" i="2"/>
  <c r="J33" i="2"/>
  <c r="U32" i="5"/>
  <c r="T32" i="5"/>
  <c r="Q32" i="5"/>
  <c r="O32" i="5"/>
  <c r="N32" i="5"/>
  <c r="F32" i="5"/>
  <c r="O32" i="4"/>
  <c r="N32" i="4"/>
  <c r="F32" i="4"/>
  <c r="L33" i="2" l="1"/>
  <c r="R33" i="2" s="1"/>
  <c r="K33" i="5"/>
  <c r="J33" i="5"/>
  <c r="K33" i="4"/>
  <c r="J33" i="4"/>
  <c r="K33" i="3"/>
  <c r="J33" i="3"/>
  <c r="M33" i="2"/>
  <c r="P33" i="2"/>
  <c r="T32" i="3"/>
  <c r="Q32" i="3"/>
  <c r="O32" i="3"/>
  <c r="N32" i="3"/>
  <c r="F32" i="3"/>
  <c r="S33" i="2" l="1"/>
  <c r="Q33" i="2"/>
  <c r="N33" i="2"/>
  <c r="O33" i="2"/>
  <c r="T33" i="2"/>
  <c r="L33" i="5"/>
  <c r="L33" i="4"/>
  <c r="L33" i="3"/>
  <c r="O33" i="5" l="1"/>
  <c r="S33" i="5"/>
  <c r="P33" i="5"/>
  <c r="M33" i="5"/>
  <c r="R33" i="5"/>
  <c r="O33" i="4"/>
  <c r="R33" i="4"/>
  <c r="Q33" i="4"/>
  <c r="P33" i="4"/>
  <c r="U33" i="4"/>
  <c r="S33" i="4"/>
  <c r="M33" i="4"/>
  <c r="P33" i="3"/>
  <c r="R33" i="3"/>
  <c r="S33" i="3"/>
  <c r="M33" i="3"/>
  <c r="U33" i="3"/>
  <c r="E32" i="5"/>
  <c r="V32" i="5" s="1"/>
  <c r="E32" i="4"/>
  <c r="V32" i="4" s="1"/>
  <c r="E32" i="3"/>
  <c r="V32" i="3" s="1"/>
  <c r="E32" i="2"/>
  <c r="V32" i="2" l="1"/>
  <c r="F32" i="2"/>
  <c r="G32" i="5"/>
  <c r="G32" i="4"/>
  <c r="G32" i="3"/>
  <c r="G32" i="2"/>
  <c r="H32" i="5" l="1"/>
  <c r="H32" i="2"/>
  <c r="H32" i="4"/>
  <c r="H32" i="3"/>
  <c r="O31" i="5"/>
  <c r="N31" i="5"/>
  <c r="F31" i="5"/>
  <c r="T31" i="4"/>
  <c r="O31" i="4"/>
  <c r="N31" i="4"/>
  <c r="F31" i="4"/>
  <c r="T31" i="3"/>
  <c r="Q31" i="3"/>
  <c r="O31" i="3"/>
  <c r="N31" i="3"/>
  <c r="F31" i="3"/>
  <c r="I32" i="5" l="1"/>
  <c r="I32" i="4"/>
  <c r="J32" i="4" s="1"/>
  <c r="I32" i="3"/>
  <c r="J32" i="3" s="1"/>
  <c r="I32" i="2"/>
  <c r="K32" i="4"/>
  <c r="K32" i="3"/>
  <c r="K32" i="5" l="1"/>
  <c r="J32" i="5"/>
  <c r="L32" i="4"/>
  <c r="U32" i="4" s="1"/>
  <c r="L32" i="3"/>
  <c r="J32" i="2"/>
  <c r="K32" i="2"/>
  <c r="S32" i="4"/>
  <c r="Q32" i="4"/>
  <c r="R32" i="4"/>
  <c r="P32" i="4"/>
  <c r="M32" i="4"/>
  <c r="R32" i="3"/>
  <c r="S32" i="3"/>
  <c r="U32" i="3"/>
  <c r="P32" i="3"/>
  <c r="M32" i="3"/>
  <c r="E31" i="5"/>
  <c r="V31" i="5" s="1"/>
  <c r="E31" i="4"/>
  <c r="E31" i="3"/>
  <c r="V31" i="3" s="1"/>
  <c r="E31" i="2"/>
  <c r="V31" i="2" s="1"/>
  <c r="L32" i="5" l="1"/>
  <c r="T32" i="4"/>
  <c r="L32" i="2"/>
  <c r="G31" i="5"/>
  <c r="H31" i="4"/>
  <c r="V31" i="4"/>
  <c r="G31" i="4"/>
  <c r="G31" i="3"/>
  <c r="F31" i="2"/>
  <c r="G31" i="2"/>
  <c r="O32" i="2" l="1"/>
  <c r="N32" i="2"/>
  <c r="M32" i="5"/>
  <c r="R32" i="5"/>
  <c r="S32" i="5"/>
  <c r="P32" i="5"/>
  <c r="Q32" i="2"/>
  <c r="T32" i="2"/>
  <c r="P32" i="2"/>
  <c r="M32" i="2"/>
  <c r="R32" i="2"/>
  <c r="S32" i="2"/>
  <c r="H31" i="5"/>
  <c r="I31" i="4"/>
  <c r="H31" i="3"/>
  <c r="H31" i="2"/>
  <c r="K31" i="4"/>
  <c r="J31" i="4"/>
  <c r="I31" i="5" l="1"/>
  <c r="L31" i="4"/>
  <c r="I31" i="3"/>
  <c r="I31" i="2"/>
  <c r="P31" i="4"/>
  <c r="U31" i="4"/>
  <c r="M31" i="4"/>
  <c r="S31" i="4"/>
  <c r="R31" i="4"/>
  <c r="T30" i="4"/>
  <c r="Q30" i="4"/>
  <c r="R30" i="4"/>
  <c r="O30" i="4"/>
  <c r="N30" i="4"/>
  <c r="F30" i="4"/>
  <c r="T30" i="3"/>
  <c r="O30" i="3"/>
  <c r="N30" i="3"/>
  <c r="J31" i="5" l="1"/>
  <c r="K31" i="5"/>
  <c r="Q31" i="4"/>
  <c r="K31" i="3"/>
  <c r="J31" i="3"/>
  <c r="J31" i="2"/>
  <c r="K31" i="2"/>
  <c r="E30" i="5"/>
  <c r="V30" i="5" s="1"/>
  <c r="E30" i="4"/>
  <c r="E30" i="3"/>
  <c r="E30" i="2"/>
  <c r="L31" i="5" l="1"/>
  <c r="L31" i="3"/>
  <c r="L31" i="2"/>
  <c r="F30" i="3"/>
  <c r="G30" i="5"/>
  <c r="F30" i="5"/>
  <c r="V30" i="4"/>
  <c r="G30" i="4"/>
  <c r="V30" i="3"/>
  <c r="G30" i="3"/>
  <c r="V30" i="2"/>
  <c r="F30" i="2"/>
  <c r="G30" i="2"/>
  <c r="Q31" i="2" l="1"/>
  <c r="O31" i="2"/>
  <c r="N31" i="2"/>
  <c r="T31" i="2"/>
  <c r="R31" i="5"/>
  <c r="M31" i="5"/>
  <c r="Q31" i="5"/>
  <c r="T31" i="5"/>
  <c r="P31" i="5"/>
  <c r="S31" i="5"/>
  <c r="U31" i="5"/>
  <c r="M31" i="3"/>
  <c r="U31" i="3"/>
  <c r="R31" i="3"/>
  <c r="P31" i="3"/>
  <c r="S31" i="3"/>
  <c r="P31" i="2"/>
  <c r="M31" i="2"/>
  <c r="R31" i="2"/>
  <c r="S31" i="2"/>
  <c r="H30" i="5"/>
  <c r="H30" i="4"/>
  <c r="H30" i="3"/>
  <c r="H30" i="2"/>
  <c r="I30" i="5" l="1"/>
  <c r="I30" i="4"/>
  <c r="I30" i="3"/>
  <c r="I30" i="2"/>
  <c r="K30" i="5" l="1"/>
  <c r="J30" i="5"/>
  <c r="K30" i="4"/>
  <c r="J30" i="4"/>
  <c r="K30" i="3"/>
  <c r="J30" i="3"/>
  <c r="K30" i="2"/>
  <c r="J30" i="2"/>
  <c r="N29" i="3"/>
  <c r="O29" i="5"/>
  <c r="N29" i="5"/>
  <c r="T29" i="4"/>
  <c r="Q29" i="4"/>
  <c r="O29" i="4"/>
  <c r="N29" i="4"/>
  <c r="F29" i="3"/>
  <c r="L30" i="5" l="1"/>
  <c r="L30" i="4"/>
  <c r="L30" i="3"/>
  <c r="L30" i="2"/>
  <c r="E29" i="5"/>
  <c r="E29" i="4"/>
  <c r="V29" i="4" s="1"/>
  <c r="E29" i="3"/>
  <c r="G29" i="3" s="1"/>
  <c r="E29" i="2"/>
  <c r="V29" i="2" s="1"/>
  <c r="T30" i="2" l="1"/>
  <c r="Q30" i="2"/>
  <c r="N30" i="2"/>
  <c r="O30" i="2"/>
  <c r="N30" i="5"/>
  <c r="O30" i="5"/>
  <c r="U30" i="5"/>
  <c r="R30" i="5"/>
  <c r="P30" i="5"/>
  <c r="S30" i="5"/>
  <c r="T30" i="5"/>
  <c r="M30" i="5"/>
  <c r="Q30" i="5"/>
  <c r="U30" i="4"/>
  <c r="S30" i="4"/>
  <c r="M30" i="4"/>
  <c r="P30" i="4"/>
  <c r="R30" i="3"/>
  <c r="M30" i="3"/>
  <c r="S30" i="3"/>
  <c r="Q30" i="3"/>
  <c r="U30" i="3"/>
  <c r="P30" i="3"/>
  <c r="P30" i="2"/>
  <c r="R30" i="2"/>
  <c r="M30" i="2"/>
  <c r="S30" i="2"/>
  <c r="F29" i="2"/>
  <c r="F29" i="5"/>
  <c r="V29" i="5"/>
  <c r="G29" i="5"/>
  <c r="F29" i="4"/>
  <c r="G29" i="4"/>
  <c r="V29" i="3"/>
  <c r="G29" i="2"/>
  <c r="H29" i="4" l="1"/>
  <c r="H29" i="3"/>
  <c r="H29" i="5"/>
  <c r="H29" i="2"/>
  <c r="T28" i="3"/>
  <c r="S28" i="3"/>
  <c r="R28" i="3"/>
  <c r="O28" i="3"/>
  <c r="N28" i="3"/>
  <c r="F28" i="3"/>
  <c r="T28" i="4"/>
  <c r="U28" i="5"/>
  <c r="T28" i="5"/>
  <c r="Q28" i="5"/>
  <c r="O28" i="5"/>
  <c r="N28" i="5"/>
  <c r="I29" i="5" l="1"/>
  <c r="K29" i="5" s="1"/>
  <c r="I29" i="4"/>
  <c r="I29" i="3"/>
  <c r="I29" i="2"/>
  <c r="K29" i="2" s="1"/>
  <c r="J29" i="5"/>
  <c r="L29" i="5" l="1"/>
  <c r="K29" i="4"/>
  <c r="J29" i="4"/>
  <c r="K29" i="3"/>
  <c r="J29" i="3"/>
  <c r="J29" i="2"/>
  <c r="E28" i="5"/>
  <c r="V28" i="5" s="1"/>
  <c r="E28" i="4"/>
  <c r="E28" i="3"/>
  <c r="E28" i="2"/>
  <c r="F28" i="2" s="1"/>
  <c r="T29" i="5" l="1"/>
  <c r="U29" i="5"/>
  <c r="Q29" i="5"/>
  <c r="S29" i="5"/>
  <c r="R29" i="5"/>
  <c r="M29" i="5"/>
  <c r="P29" i="5"/>
  <c r="L29" i="4"/>
  <c r="L29" i="3"/>
  <c r="L29" i="2"/>
  <c r="F28" i="5"/>
  <c r="G28" i="5"/>
  <c r="F28" i="4"/>
  <c r="V28" i="4"/>
  <c r="G28" i="4"/>
  <c r="V28" i="3"/>
  <c r="G28" i="3"/>
  <c r="V28" i="2"/>
  <c r="G28" i="2"/>
  <c r="T29" i="2" l="1"/>
  <c r="N29" i="2"/>
  <c r="M29" i="4"/>
  <c r="P29" i="4"/>
  <c r="S29" i="4"/>
  <c r="U29" i="4"/>
  <c r="R29" i="4"/>
  <c r="Q29" i="3"/>
  <c r="T29" i="3"/>
  <c r="O29" i="3"/>
  <c r="R29" i="3"/>
  <c r="P29" i="3"/>
  <c r="U29" i="3"/>
  <c r="S29" i="3"/>
  <c r="M29" i="3"/>
  <c r="O29" i="2"/>
  <c r="S29" i="2"/>
  <c r="R29" i="2"/>
  <c r="M29" i="2"/>
  <c r="P29" i="2"/>
  <c r="Q29" i="2"/>
  <c r="H28" i="5"/>
  <c r="I28" i="5"/>
  <c r="J28" i="5" s="1"/>
  <c r="H28" i="4"/>
  <c r="H28" i="2"/>
  <c r="H28" i="3"/>
  <c r="K28" i="5" l="1"/>
  <c r="L28" i="5"/>
  <c r="I28" i="4"/>
  <c r="I28" i="3"/>
  <c r="J28" i="3" s="1"/>
  <c r="I28" i="2"/>
  <c r="R28" i="5"/>
  <c r="S28" i="5"/>
  <c r="P28" i="5"/>
  <c r="N27" i="5"/>
  <c r="F27" i="5"/>
  <c r="K28" i="3" l="1"/>
  <c r="M28" i="5"/>
  <c r="K28" i="4"/>
  <c r="J28" i="4"/>
  <c r="L28" i="3"/>
  <c r="K28" i="2"/>
  <c r="J28" i="2"/>
  <c r="P28" i="3"/>
  <c r="T27" i="4"/>
  <c r="Q27" i="4"/>
  <c r="O27" i="4"/>
  <c r="N27" i="4"/>
  <c r="T27" i="3"/>
  <c r="O27" i="3"/>
  <c r="N27" i="3"/>
  <c r="Q28" i="3" l="1"/>
  <c r="M28" i="3"/>
  <c r="U28" i="3"/>
  <c r="L28" i="4"/>
  <c r="L28" i="2"/>
  <c r="E27" i="5"/>
  <c r="V27" i="5" s="1"/>
  <c r="E27" i="4"/>
  <c r="G27" i="4" s="1"/>
  <c r="E27" i="3"/>
  <c r="V27" i="3" s="1"/>
  <c r="E27" i="2"/>
  <c r="V27" i="2" s="1"/>
  <c r="N28" i="2" l="1"/>
  <c r="O28" i="2"/>
  <c r="N28" i="4"/>
  <c r="O28" i="4"/>
  <c r="Q28" i="4"/>
  <c r="R28" i="4"/>
  <c r="P28" i="4"/>
  <c r="S28" i="4"/>
  <c r="U28" i="4"/>
  <c r="M28" i="4"/>
  <c r="T28" i="2"/>
  <c r="M28" i="2"/>
  <c r="R28" i="2"/>
  <c r="P28" i="2"/>
  <c r="S28" i="2"/>
  <c r="Q28" i="2"/>
  <c r="F27" i="3"/>
  <c r="F27" i="2"/>
  <c r="G27" i="5"/>
  <c r="F27" i="4"/>
  <c r="V27" i="4"/>
  <c r="G27" i="3"/>
  <c r="G27" i="2"/>
  <c r="T25" i="5"/>
  <c r="T26" i="5"/>
  <c r="T23" i="5"/>
  <c r="T21" i="5"/>
  <c r="T18" i="5"/>
  <c r="T19" i="5"/>
  <c r="T20" i="5"/>
  <c r="T22" i="5"/>
  <c r="U21" i="5"/>
  <c r="U25" i="5"/>
  <c r="U26" i="5"/>
  <c r="U23" i="5"/>
  <c r="U18" i="5"/>
  <c r="U19" i="5"/>
  <c r="U20" i="5"/>
  <c r="T60" i="5" l="1"/>
  <c r="U60" i="5"/>
  <c r="H27" i="5"/>
  <c r="H27" i="4"/>
  <c r="H27" i="2"/>
  <c r="H27" i="3"/>
  <c r="I27" i="5" l="1"/>
  <c r="I27" i="4"/>
  <c r="I27" i="3"/>
  <c r="K27" i="3" s="1"/>
  <c r="I27" i="2"/>
  <c r="J27" i="3"/>
  <c r="K27" i="5" l="1"/>
  <c r="J27" i="5"/>
  <c r="K27" i="4"/>
  <c r="J27" i="4"/>
  <c r="L27" i="3"/>
  <c r="K27" i="2"/>
  <c r="J27" i="2"/>
  <c r="S27" i="3"/>
  <c r="M27" i="3"/>
  <c r="U27" i="3"/>
  <c r="P27" i="3"/>
  <c r="Q26" i="5"/>
  <c r="O26" i="5"/>
  <c r="N26" i="5"/>
  <c r="T26" i="4"/>
  <c r="Q26" i="4"/>
  <c r="O26" i="4"/>
  <c r="N26" i="4"/>
  <c r="T26" i="3"/>
  <c r="Q26" i="3"/>
  <c r="O26" i="3"/>
  <c r="N26" i="3"/>
  <c r="F26" i="3"/>
  <c r="L27" i="5" l="1"/>
  <c r="L27" i="4"/>
  <c r="R27" i="3"/>
  <c r="Q27" i="3"/>
  <c r="L27" i="2"/>
  <c r="E26" i="5"/>
  <c r="F26" i="5" s="1"/>
  <c r="E26" i="4"/>
  <c r="V26" i="4" s="1"/>
  <c r="E26" i="3"/>
  <c r="V26" i="3" s="1"/>
  <c r="E26" i="2"/>
  <c r="O27" i="2" l="1"/>
  <c r="N27" i="2"/>
  <c r="V26" i="2"/>
  <c r="F26" i="2"/>
  <c r="U27" i="5"/>
  <c r="T27" i="5"/>
  <c r="Q27" i="5"/>
  <c r="O27" i="5"/>
  <c r="M27" i="5"/>
  <c r="S27" i="5"/>
  <c r="R27" i="5"/>
  <c r="P27" i="5"/>
  <c r="S27" i="4"/>
  <c r="R27" i="4"/>
  <c r="U27" i="4"/>
  <c r="M27" i="4"/>
  <c r="P27" i="4"/>
  <c r="Q27" i="2"/>
  <c r="T27" i="2"/>
  <c r="M27" i="2"/>
  <c r="P27" i="2"/>
  <c r="R27" i="2"/>
  <c r="S27" i="2"/>
  <c r="F26" i="4"/>
  <c r="V26" i="5"/>
  <c r="G26" i="5"/>
  <c r="G26" i="4"/>
  <c r="G26" i="3"/>
  <c r="G26" i="2"/>
  <c r="H26" i="2" l="1"/>
  <c r="I26" i="2"/>
  <c r="K26" i="2" s="1"/>
  <c r="H26" i="5"/>
  <c r="H26" i="4"/>
  <c r="H26" i="3"/>
  <c r="Q25" i="5"/>
  <c r="O25" i="5"/>
  <c r="N25" i="5"/>
  <c r="F25" i="5"/>
  <c r="N25" i="4"/>
  <c r="F25" i="4"/>
  <c r="T25" i="3"/>
  <c r="Q25" i="3"/>
  <c r="O25" i="3"/>
  <c r="N25" i="3"/>
  <c r="J26" i="2" l="1"/>
  <c r="I26" i="5"/>
  <c r="K26" i="5" s="1"/>
  <c r="I26" i="4"/>
  <c r="J26" i="4" s="1"/>
  <c r="I26" i="3"/>
  <c r="J26" i="3" s="1"/>
  <c r="K26" i="4"/>
  <c r="K26" i="3"/>
  <c r="L26" i="2"/>
  <c r="E25" i="5"/>
  <c r="V25" i="5" s="1"/>
  <c r="E25" i="4"/>
  <c r="V25" i="4" s="1"/>
  <c r="E25" i="3"/>
  <c r="V25" i="3" s="1"/>
  <c r="E25" i="2"/>
  <c r="F25" i="2" s="1"/>
  <c r="T26" i="2" l="1"/>
  <c r="O26" i="2"/>
  <c r="Q26" i="2"/>
  <c r="N26" i="2"/>
  <c r="J26" i="5"/>
  <c r="L26" i="5"/>
  <c r="M26" i="5" s="1"/>
  <c r="L26" i="4"/>
  <c r="P26" i="4" s="1"/>
  <c r="L26" i="3"/>
  <c r="R26" i="3" s="1"/>
  <c r="S26" i="5"/>
  <c r="R26" i="5"/>
  <c r="P26" i="5"/>
  <c r="R26" i="4"/>
  <c r="S26" i="4"/>
  <c r="M26" i="4"/>
  <c r="U26" i="4"/>
  <c r="S26" i="3"/>
  <c r="U26" i="3"/>
  <c r="M26" i="3"/>
  <c r="P26" i="3"/>
  <c r="S26" i="2"/>
  <c r="P26" i="2"/>
  <c r="R26" i="2"/>
  <c r="M26" i="2"/>
  <c r="G25" i="5"/>
  <c r="G25" i="4"/>
  <c r="G25" i="3"/>
  <c r="F25" i="3"/>
  <c r="V25" i="2"/>
  <c r="G25" i="2"/>
  <c r="H25" i="2" s="1"/>
  <c r="H25" i="5" l="1"/>
  <c r="H25" i="4"/>
  <c r="H25" i="3"/>
  <c r="I25" i="2"/>
  <c r="J25" i="2"/>
  <c r="I25" i="5" l="1"/>
  <c r="I25" i="4"/>
  <c r="I25" i="3"/>
  <c r="K25" i="2"/>
  <c r="L25" i="2"/>
  <c r="N24" i="5"/>
  <c r="O24" i="4"/>
  <c r="N24" i="3"/>
  <c r="T25" i="2" l="1"/>
  <c r="Q25" i="2"/>
  <c r="N25" i="2"/>
  <c r="O25" i="2"/>
  <c r="J25" i="5"/>
  <c r="K25" i="5"/>
  <c r="J25" i="4"/>
  <c r="K25" i="4"/>
  <c r="K25" i="3"/>
  <c r="J25" i="3"/>
  <c r="S25" i="2"/>
  <c r="R25" i="2"/>
  <c r="P25" i="2"/>
  <c r="M25" i="2"/>
  <c r="E24" i="5"/>
  <c r="V24" i="5" s="1"/>
  <c r="E24" i="4"/>
  <c r="V24" i="4" s="1"/>
  <c r="E24" i="3"/>
  <c r="V24" i="3" s="1"/>
  <c r="E24" i="2"/>
  <c r="V24" i="2" l="1"/>
  <c r="F24" i="2"/>
  <c r="L25" i="5"/>
  <c r="L25" i="4"/>
  <c r="L25" i="3"/>
  <c r="F24" i="5"/>
  <c r="G24" i="5"/>
  <c r="F24" i="4"/>
  <c r="G24" i="4"/>
  <c r="F24" i="3"/>
  <c r="G24" i="3"/>
  <c r="G24" i="2"/>
  <c r="R25" i="5" l="1"/>
  <c r="P25" i="5"/>
  <c r="S25" i="5"/>
  <c r="M25" i="5"/>
  <c r="O25" i="4"/>
  <c r="M25" i="4"/>
  <c r="T25" i="4"/>
  <c r="S25" i="4"/>
  <c r="U25" i="4"/>
  <c r="P25" i="4"/>
  <c r="R25" i="4"/>
  <c r="Q25" i="4"/>
  <c r="U25" i="3"/>
  <c r="M25" i="3"/>
  <c r="R25" i="3"/>
  <c r="S25" i="3"/>
  <c r="P25" i="3"/>
  <c r="H24" i="4"/>
  <c r="H24" i="5"/>
  <c r="H24" i="3"/>
  <c r="H24" i="2"/>
  <c r="I24" i="5" l="1"/>
  <c r="K24" i="5" s="1"/>
  <c r="I24" i="4"/>
  <c r="I24" i="3"/>
  <c r="J24" i="3" s="1"/>
  <c r="I24" i="2"/>
  <c r="J24" i="2" s="1"/>
  <c r="K24" i="3"/>
  <c r="Q23" i="5"/>
  <c r="O23" i="5"/>
  <c r="N23" i="5"/>
  <c r="F23" i="5"/>
  <c r="O23" i="4"/>
  <c r="N23" i="4"/>
  <c r="T23" i="3"/>
  <c r="N23" i="3"/>
  <c r="J24" i="5" l="1"/>
  <c r="L24" i="5" s="1"/>
  <c r="J24" i="4"/>
  <c r="K24" i="4"/>
  <c r="L24" i="3"/>
  <c r="S24" i="3" s="1"/>
  <c r="K24" i="2"/>
  <c r="L24" i="2" s="1"/>
  <c r="U24" i="3"/>
  <c r="O24" i="3"/>
  <c r="M24" i="3"/>
  <c r="E23" i="5"/>
  <c r="G23" i="5" s="1"/>
  <c r="E23" i="4"/>
  <c r="E23" i="3"/>
  <c r="V23" i="3" s="1"/>
  <c r="E23" i="2"/>
  <c r="M24" i="2" l="1"/>
  <c r="N24" i="2"/>
  <c r="T24" i="2"/>
  <c r="V23" i="2"/>
  <c r="F23" i="2"/>
  <c r="P24" i="5"/>
  <c r="S24" i="5"/>
  <c r="R24" i="5"/>
  <c r="M24" i="5"/>
  <c r="T24" i="5"/>
  <c r="U24" i="5"/>
  <c r="Q24" i="5"/>
  <c r="O24" i="5"/>
  <c r="L24" i="4"/>
  <c r="P24" i="3"/>
  <c r="Q24" i="3"/>
  <c r="R24" i="3"/>
  <c r="T24" i="3"/>
  <c r="R24" i="2"/>
  <c r="O24" i="2"/>
  <c r="Q24" i="2"/>
  <c r="S24" i="2"/>
  <c r="P24" i="2"/>
  <c r="F23" i="4"/>
  <c r="F23" i="3"/>
  <c r="V23" i="5"/>
  <c r="V23" i="4"/>
  <c r="G23" i="4"/>
  <c r="G23" i="3"/>
  <c r="G23" i="2"/>
  <c r="N24" i="4" l="1"/>
  <c r="Q24" i="4"/>
  <c r="T24" i="4"/>
  <c r="S24" i="4"/>
  <c r="U24" i="4"/>
  <c r="P24" i="4"/>
  <c r="R24" i="4"/>
  <c r="M24" i="4"/>
  <c r="H23" i="5"/>
  <c r="H23" i="4"/>
  <c r="H23" i="3"/>
  <c r="H23" i="2"/>
  <c r="I23" i="2" s="1"/>
  <c r="U22" i="5"/>
  <c r="O22" i="5"/>
  <c r="N22" i="5"/>
  <c r="T22" i="4"/>
  <c r="F22" i="4"/>
  <c r="N22" i="3"/>
  <c r="F22" i="3"/>
  <c r="I23" i="5" l="1"/>
  <c r="I23" i="4"/>
  <c r="I23" i="3"/>
  <c r="K23" i="2"/>
  <c r="J23" i="2"/>
  <c r="L23" i="2" s="1"/>
  <c r="N23" i="2" l="1"/>
  <c r="O23" i="2"/>
  <c r="K23" i="5"/>
  <c r="J23" i="5"/>
  <c r="J23" i="4"/>
  <c r="K23" i="4"/>
  <c r="J23" i="3"/>
  <c r="K23" i="3"/>
  <c r="P23" i="2"/>
  <c r="T23" i="2"/>
  <c r="M23" i="2"/>
  <c r="S23" i="2"/>
  <c r="Q23" i="2"/>
  <c r="R23" i="2"/>
  <c r="E22" i="5"/>
  <c r="V22" i="5" s="1"/>
  <c r="E22" i="4"/>
  <c r="G22" i="4" s="1"/>
  <c r="E22" i="3"/>
  <c r="E22" i="2"/>
  <c r="F22" i="2" s="1"/>
  <c r="L23" i="5" l="1"/>
  <c r="L23" i="4"/>
  <c r="L23" i="3"/>
  <c r="F22" i="5"/>
  <c r="G22" i="5"/>
  <c r="V22" i="4"/>
  <c r="V22" i="3"/>
  <c r="G22" i="3"/>
  <c r="V22" i="2"/>
  <c r="G22" i="2"/>
  <c r="S23" i="5" l="1"/>
  <c r="R23" i="5"/>
  <c r="M23" i="5"/>
  <c r="P23" i="5"/>
  <c r="T23" i="4"/>
  <c r="S23" i="4"/>
  <c r="R23" i="4"/>
  <c r="M23" i="4"/>
  <c r="U23" i="4"/>
  <c r="P23" i="4"/>
  <c r="Q23" i="4"/>
  <c r="S23" i="3"/>
  <c r="Q23" i="3"/>
  <c r="U23" i="3"/>
  <c r="P23" i="3"/>
  <c r="M23" i="3"/>
  <c r="O23" i="3"/>
  <c r="R23" i="3"/>
  <c r="H22" i="4"/>
  <c r="I22" i="4"/>
  <c r="J22" i="4" s="1"/>
  <c r="H22" i="3"/>
  <c r="H22" i="2"/>
  <c r="I22" i="2" s="1"/>
  <c r="H22" i="5"/>
  <c r="I22" i="5" l="1"/>
  <c r="J22" i="5" s="1"/>
  <c r="K22" i="4"/>
  <c r="I22" i="3"/>
  <c r="J22" i="2"/>
  <c r="K22" i="2"/>
  <c r="L22" i="4"/>
  <c r="Q21" i="5"/>
  <c r="N21" i="5"/>
  <c r="F21" i="5"/>
  <c r="T21" i="4"/>
  <c r="Q21" i="4"/>
  <c r="O21" i="4"/>
  <c r="N21" i="4"/>
  <c r="F21" i="4"/>
  <c r="T21" i="3"/>
  <c r="N21" i="3"/>
  <c r="F21" i="3"/>
  <c r="K22" i="5" l="1"/>
  <c r="L22" i="5"/>
  <c r="S22" i="4"/>
  <c r="O22" i="4"/>
  <c r="Q22" i="4"/>
  <c r="N22" i="4"/>
  <c r="K22" i="3"/>
  <c r="J22" i="3"/>
  <c r="L22" i="2"/>
  <c r="U22" i="4"/>
  <c r="M22" i="4"/>
  <c r="R22" i="4"/>
  <c r="P22" i="4"/>
  <c r="P22" i="2"/>
  <c r="M22" i="2"/>
  <c r="N22" i="2" l="1"/>
  <c r="T22" i="2"/>
  <c r="O22" i="2"/>
  <c r="Q22" i="5"/>
  <c r="M22" i="5"/>
  <c r="R22" i="5"/>
  <c r="S22" i="5"/>
  <c r="P22" i="5"/>
  <c r="L22" i="3"/>
  <c r="R22" i="2"/>
  <c r="Q22" i="2"/>
  <c r="S22" i="2"/>
  <c r="E21" i="5"/>
  <c r="V21" i="5" s="1"/>
  <c r="E21" i="4"/>
  <c r="E21" i="3"/>
  <c r="T22" i="3" l="1"/>
  <c r="U22" i="3"/>
  <c r="M22" i="3"/>
  <c r="R22" i="3"/>
  <c r="Q22" i="3"/>
  <c r="S22" i="3"/>
  <c r="P22" i="3"/>
  <c r="O22" i="3"/>
  <c r="G21" i="5"/>
  <c r="V21" i="4"/>
  <c r="G21" i="4"/>
  <c r="V21" i="3"/>
  <c r="G21" i="3"/>
  <c r="E21" i="2"/>
  <c r="F21" i="2" s="1"/>
  <c r="H21" i="5" l="1"/>
  <c r="H21" i="4"/>
  <c r="H21" i="3"/>
  <c r="G21" i="2"/>
  <c r="V21" i="2"/>
  <c r="I21" i="5" l="1"/>
  <c r="I21" i="4"/>
  <c r="I21" i="3"/>
  <c r="H21" i="2"/>
  <c r="S20" i="5"/>
  <c r="Q20" i="5"/>
  <c r="O20" i="5"/>
  <c r="N20" i="5"/>
  <c r="F20" i="5"/>
  <c r="T20" i="4"/>
  <c r="P20" i="4"/>
  <c r="O20" i="4"/>
  <c r="N20" i="4"/>
  <c r="T20" i="3"/>
  <c r="O20" i="3"/>
  <c r="N20" i="3"/>
  <c r="E20" i="5"/>
  <c r="E20" i="4"/>
  <c r="G20" i="4" s="1"/>
  <c r="E20" i="3"/>
  <c r="V20" i="3" s="1"/>
  <c r="E20" i="2"/>
  <c r="V20" i="2" s="1"/>
  <c r="F20" i="2" l="1"/>
  <c r="K21" i="5"/>
  <c r="J21" i="5"/>
  <c r="J21" i="4"/>
  <c r="K21" i="4"/>
  <c r="K21" i="3"/>
  <c r="J21" i="3"/>
  <c r="I21" i="2"/>
  <c r="F20" i="3"/>
  <c r="G20" i="5"/>
  <c r="V20" i="5"/>
  <c r="V20" i="4"/>
  <c r="F20" i="4"/>
  <c r="G20" i="3"/>
  <c r="G20" i="2"/>
  <c r="L21" i="5" l="1"/>
  <c r="L21" i="4"/>
  <c r="L21" i="3"/>
  <c r="K21" i="2"/>
  <c r="J21" i="2"/>
  <c r="H20" i="5"/>
  <c r="H20" i="4"/>
  <c r="H20" i="3"/>
  <c r="H20" i="2"/>
  <c r="O21" i="5" l="1"/>
  <c r="R21" i="5"/>
  <c r="S21" i="5"/>
  <c r="M21" i="5"/>
  <c r="P21" i="5"/>
  <c r="U21" i="4"/>
  <c r="R21" i="4"/>
  <c r="S21" i="4"/>
  <c r="M21" i="4"/>
  <c r="P21" i="4"/>
  <c r="O21" i="3"/>
  <c r="M21" i="3"/>
  <c r="Q21" i="3"/>
  <c r="R21" i="3"/>
  <c r="P21" i="3"/>
  <c r="U21" i="3"/>
  <c r="S21" i="3"/>
  <c r="L21" i="2"/>
  <c r="I20" i="5"/>
  <c r="I20" i="4"/>
  <c r="I20" i="3"/>
  <c r="I20" i="2"/>
  <c r="J20" i="2" s="1"/>
  <c r="N19" i="4"/>
  <c r="O19" i="5"/>
  <c r="N19" i="5"/>
  <c r="T19" i="4"/>
  <c r="Q19" i="4"/>
  <c r="T19" i="3"/>
  <c r="Q19" i="3"/>
  <c r="O19" i="3"/>
  <c r="N19" i="3"/>
  <c r="F19" i="3"/>
  <c r="T21" i="2" l="1"/>
  <c r="Q21" i="2"/>
  <c r="O21" i="2"/>
  <c r="N21" i="2"/>
  <c r="S21" i="2"/>
  <c r="R21" i="2"/>
  <c r="M21" i="2"/>
  <c r="P21" i="2"/>
  <c r="J20" i="5"/>
  <c r="K20" i="5"/>
  <c r="K20" i="4"/>
  <c r="J20" i="4"/>
  <c r="K20" i="3"/>
  <c r="J20" i="3"/>
  <c r="K20" i="2"/>
  <c r="E19" i="5"/>
  <c r="V19" i="5" s="1"/>
  <c r="E19" i="4"/>
  <c r="E19" i="3"/>
  <c r="V19" i="3" s="1"/>
  <c r="E19" i="2"/>
  <c r="F19" i="2" s="1"/>
  <c r="L20" i="5" l="1"/>
  <c r="L20" i="4"/>
  <c r="L20" i="3"/>
  <c r="L20" i="2"/>
  <c r="F19" i="5"/>
  <c r="G19" i="5"/>
  <c r="F19" i="4"/>
  <c r="V19" i="4"/>
  <c r="G19" i="4"/>
  <c r="G19" i="3"/>
  <c r="V19" i="2"/>
  <c r="G19" i="2"/>
  <c r="H19" i="2" s="1"/>
  <c r="N20" i="2" l="1"/>
  <c r="T20" i="2"/>
  <c r="O20" i="2"/>
  <c r="R20" i="5"/>
  <c r="P20" i="5"/>
  <c r="M20" i="5"/>
  <c r="Q20" i="4"/>
  <c r="U20" i="4"/>
  <c r="S20" i="4"/>
  <c r="R20" i="4"/>
  <c r="M20" i="4"/>
  <c r="Q20" i="3"/>
  <c r="M20" i="3"/>
  <c r="U20" i="3"/>
  <c r="S20" i="3"/>
  <c r="R20" i="3"/>
  <c r="P20" i="3"/>
  <c r="S20" i="2"/>
  <c r="Q20" i="2"/>
  <c r="R20" i="2"/>
  <c r="P20" i="2"/>
  <c r="M20" i="2"/>
  <c r="H19" i="4"/>
  <c r="H19" i="3"/>
  <c r="I19" i="2"/>
  <c r="K19" i="2" s="1"/>
  <c r="H19" i="5"/>
  <c r="J19" i="2"/>
  <c r="O18" i="5"/>
  <c r="N18" i="5"/>
  <c r="F18" i="5"/>
  <c r="T18" i="4"/>
  <c r="Q18" i="4"/>
  <c r="O18" i="4"/>
  <c r="N18" i="4"/>
  <c r="O18" i="3"/>
  <c r="E18" i="5"/>
  <c r="G18" i="5" s="1"/>
  <c r="E18" i="4"/>
  <c r="V18" i="4" s="1"/>
  <c r="E18" i="3"/>
  <c r="G18" i="3" s="1"/>
  <c r="E18" i="2"/>
  <c r="F18" i="2" s="1"/>
  <c r="I19" i="5" l="1"/>
  <c r="K19" i="5" s="1"/>
  <c r="I19" i="4"/>
  <c r="I19" i="3"/>
  <c r="J19" i="5"/>
  <c r="L19" i="2"/>
  <c r="O19" i="2" s="1"/>
  <c r="H18" i="5"/>
  <c r="I18" i="5" s="1"/>
  <c r="F18" i="4"/>
  <c r="H18" i="4" s="1"/>
  <c r="I18" i="4" s="1"/>
  <c r="F18" i="3"/>
  <c r="H18" i="3" s="1"/>
  <c r="I18" i="3" s="1"/>
  <c r="V18" i="5"/>
  <c r="G18" i="4"/>
  <c r="V18" i="3"/>
  <c r="V18" i="2"/>
  <c r="G18" i="2"/>
  <c r="L19" i="5" l="1"/>
  <c r="R19" i="5" s="1"/>
  <c r="K19" i="4"/>
  <c r="J19" i="4"/>
  <c r="K19" i="3"/>
  <c r="J19" i="3"/>
  <c r="N19" i="2"/>
  <c r="P19" i="5"/>
  <c r="M19" i="5"/>
  <c r="S19" i="5"/>
  <c r="R19" i="2"/>
  <c r="Q19" i="2"/>
  <c r="P19" i="2"/>
  <c r="T19" i="2"/>
  <c r="S19" i="2"/>
  <c r="M19" i="2"/>
  <c r="H18" i="2"/>
  <c r="K18" i="5"/>
  <c r="J18" i="5"/>
  <c r="L18" i="5" s="1"/>
  <c r="J18" i="4"/>
  <c r="K18" i="4"/>
  <c r="J18" i="3"/>
  <c r="K18" i="3"/>
  <c r="O17" i="5"/>
  <c r="N17" i="5"/>
  <c r="F17" i="5"/>
  <c r="T17" i="4"/>
  <c r="F17" i="4"/>
  <c r="T17" i="3"/>
  <c r="N17" i="3"/>
  <c r="F17" i="3"/>
  <c r="Q19" i="5" l="1"/>
  <c r="L19" i="4"/>
  <c r="L19" i="3"/>
  <c r="P18" i="5"/>
  <c r="I18" i="2"/>
  <c r="M18" i="5"/>
  <c r="Q18" i="5"/>
  <c r="R18" i="5"/>
  <c r="S18" i="5"/>
  <c r="L18" i="4"/>
  <c r="L18" i="3"/>
  <c r="E17" i="5"/>
  <c r="V17" i="5" s="1"/>
  <c r="E17" i="4"/>
  <c r="G17" i="4" s="1"/>
  <c r="E17" i="3"/>
  <c r="E17" i="2"/>
  <c r="O19" i="4" l="1"/>
  <c r="R19" i="4"/>
  <c r="S19" i="4"/>
  <c r="P19" i="4"/>
  <c r="U19" i="4"/>
  <c r="M19" i="4"/>
  <c r="S19" i="3"/>
  <c r="R19" i="3"/>
  <c r="P19" i="3"/>
  <c r="M19" i="3"/>
  <c r="U19" i="3"/>
  <c r="Q18" i="3"/>
  <c r="N18" i="3"/>
  <c r="T18" i="3"/>
  <c r="K18" i="2"/>
  <c r="J18" i="2"/>
  <c r="S18" i="4"/>
  <c r="R18" i="4"/>
  <c r="U18" i="4"/>
  <c r="M18" i="4"/>
  <c r="P18" i="4"/>
  <c r="M18" i="3"/>
  <c r="R18" i="3"/>
  <c r="S18" i="3"/>
  <c r="U18" i="3"/>
  <c r="P18" i="3"/>
  <c r="V17" i="2"/>
  <c r="F17" i="2"/>
  <c r="G17" i="5"/>
  <c r="V17" i="4"/>
  <c r="V17" i="3"/>
  <c r="G17" i="3"/>
  <c r="G17" i="2"/>
  <c r="T16" i="5"/>
  <c r="Q16" i="5"/>
  <c r="N16" i="5"/>
  <c r="T16" i="4"/>
  <c r="Q16" i="4"/>
  <c r="O16" i="4"/>
  <c r="N16" i="4"/>
  <c r="T16" i="3"/>
  <c r="Q16" i="3"/>
  <c r="O16" i="3"/>
  <c r="N16" i="3"/>
  <c r="E16" i="5"/>
  <c r="F16" i="5" s="1"/>
  <c r="E16" i="4"/>
  <c r="V16" i="4" s="1"/>
  <c r="E16" i="3"/>
  <c r="V16" i="3" s="1"/>
  <c r="E16" i="2"/>
  <c r="F16" i="2" s="1"/>
  <c r="L18" i="2" l="1"/>
  <c r="H17" i="4"/>
  <c r="H17" i="3"/>
  <c r="H17" i="5"/>
  <c r="H17" i="2"/>
  <c r="F16" i="3"/>
  <c r="V16" i="5"/>
  <c r="G16" i="5"/>
  <c r="G16" i="4"/>
  <c r="F16" i="4"/>
  <c r="G16" i="3"/>
  <c r="V16" i="2"/>
  <c r="G16" i="2"/>
  <c r="O18" i="2" l="1"/>
  <c r="N18" i="2"/>
  <c r="Q18" i="2"/>
  <c r="T18" i="2"/>
  <c r="S18" i="2"/>
  <c r="P18" i="2"/>
  <c r="M18" i="2"/>
  <c r="R18" i="2"/>
  <c r="I17" i="5"/>
  <c r="I17" i="4"/>
  <c r="I17" i="3"/>
  <c r="I17" i="2"/>
  <c r="H16" i="4"/>
  <c r="H16" i="3"/>
  <c r="H16" i="2"/>
  <c r="H16" i="5"/>
  <c r="T15" i="5"/>
  <c r="Q15" i="5"/>
  <c r="N15" i="5"/>
  <c r="F15" i="5"/>
  <c r="O15" i="4"/>
  <c r="N15" i="4"/>
  <c r="T15" i="3"/>
  <c r="Q15" i="3"/>
  <c r="O15" i="3"/>
  <c r="N15" i="3"/>
  <c r="F15" i="3"/>
  <c r="J17" i="5" l="1"/>
  <c r="K17" i="5"/>
  <c r="J17" i="4"/>
  <c r="K17" i="4"/>
  <c r="J17" i="3"/>
  <c r="K17" i="3"/>
  <c r="K17" i="2"/>
  <c r="J17" i="2"/>
  <c r="I16" i="5"/>
  <c r="K16" i="5" s="1"/>
  <c r="I16" i="4"/>
  <c r="I16" i="3"/>
  <c r="I16" i="2"/>
  <c r="E15" i="5"/>
  <c r="V15" i="5" s="1"/>
  <c r="E15" i="4"/>
  <c r="V15" i="4" s="1"/>
  <c r="E15" i="3"/>
  <c r="V15" i="3" s="1"/>
  <c r="E15" i="2"/>
  <c r="V15" i="2" s="1"/>
  <c r="L17" i="5" l="1"/>
  <c r="L17" i="4"/>
  <c r="L17" i="3"/>
  <c r="L17" i="2"/>
  <c r="J16" i="5"/>
  <c r="K16" i="4"/>
  <c r="J16" i="4"/>
  <c r="J16" i="3"/>
  <c r="K16" i="3"/>
  <c r="K16" i="2"/>
  <c r="J16" i="2"/>
  <c r="F15" i="4"/>
  <c r="F15" i="2"/>
  <c r="G15" i="5"/>
  <c r="G15" i="4"/>
  <c r="G15" i="3"/>
  <c r="G15" i="2"/>
  <c r="T14" i="5"/>
  <c r="Q14" i="5"/>
  <c r="O14" i="5"/>
  <c r="N14" i="5"/>
  <c r="T14" i="4"/>
  <c r="O14" i="4"/>
  <c r="N14" i="4"/>
  <c r="F14" i="4"/>
  <c r="O14" i="3"/>
  <c r="N14" i="3"/>
  <c r="F14" i="3"/>
  <c r="E14" i="5"/>
  <c r="V14" i="5" s="1"/>
  <c r="E14" i="4"/>
  <c r="G14" i="4" s="1"/>
  <c r="E14" i="3"/>
  <c r="V14" i="3" s="1"/>
  <c r="E14" i="2"/>
  <c r="G14" i="2" s="1"/>
  <c r="F14" i="2" l="1"/>
  <c r="N17" i="2"/>
  <c r="Q17" i="2"/>
  <c r="O17" i="2"/>
  <c r="T17" i="2"/>
  <c r="Q17" i="5"/>
  <c r="P17" i="5"/>
  <c r="R17" i="5"/>
  <c r="S17" i="5"/>
  <c r="M17" i="5"/>
  <c r="O17" i="4"/>
  <c r="Q17" i="4"/>
  <c r="N17" i="4"/>
  <c r="S17" i="4"/>
  <c r="M17" i="4"/>
  <c r="R17" i="4"/>
  <c r="P17" i="4"/>
  <c r="U17" i="4"/>
  <c r="Q17" i="3"/>
  <c r="O17" i="3"/>
  <c r="M17" i="3"/>
  <c r="S17" i="3"/>
  <c r="R17" i="3"/>
  <c r="P17" i="3"/>
  <c r="U17" i="3"/>
  <c r="P17" i="2"/>
  <c r="M17" i="2"/>
  <c r="S17" i="2"/>
  <c r="R17" i="2"/>
  <c r="L16" i="5"/>
  <c r="L16" i="4"/>
  <c r="L16" i="3"/>
  <c r="L16" i="2"/>
  <c r="H15" i="3"/>
  <c r="H15" i="2"/>
  <c r="H15" i="5"/>
  <c r="H15" i="4"/>
  <c r="G14" i="5"/>
  <c r="F14" i="5"/>
  <c r="V14" i="4"/>
  <c r="G14" i="3"/>
  <c r="V14" i="2"/>
  <c r="Q16" i="2" l="1"/>
  <c r="T16" i="2"/>
  <c r="O16" i="2"/>
  <c r="N16" i="2"/>
  <c r="O16" i="5"/>
  <c r="M16" i="5"/>
  <c r="U16" i="5"/>
  <c r="S16" i="5"/>
  <c r="R16" i="5"/>
  <c r="P16" i="5"/>
  <c r="M16" i="4"/>
  <c r="U16" i="4"/>
  <c r="S16" i="4"/>
  <c r="R16" i="4"/>
  <c r="P16" i="4"/>
  <c r="S16" i="3"/>
  <c r="M16" i="3"/>
  <c r="R16" i="3"/>
  <c r="P16" i="3"/>
  <c r="U16" i="3"/>
  <c r="S16" i="2"/>
  <c r="M16" i="2"/>
  <c r="R16" i="2"/>
  <c r="P16" i="2"/>
  <c r="I15" i="5"/>
  <c r="K15" i="5" s="1"/>
  <c r="I15" i="4"/>
  <c r="J15" i="4" s="1"/>
  <c r="I15" i="3"/>
  <c r="I15" i="2"/>
  <c r="H14" i="5"/>
  <c r="H14" i="4"/>
  <c r="I14" i="4"/>
  <c r="J14" i="4" s="1"/>
  <c r="H14" i="3"/>
  <c r="H14" i="2"/>
  <c r="T13" i="5"/>
  <c r="Q13" i="5"/>
  <c r="O13" i="5"/>
  <c r="N13" i="5"/>
  <c r="T13" i="4"/>
  <c r="Q13" i="4"/>
  <c r="O13" i="4"/>
  <c r="N13" i="4"/>
  <c r="F13" i="4"/>
  <c r="T13" i="3"/>
  <c r="Q13" i="3"/>
  <c r="O13" i="3"/>
  <c r="N13" i="3"/>
  <c r="F13" i="3"/>
  <c r="E13" i="5"/>
  <c r="F13" i="5" s="1"/>
  <c r="E13" i="4"/>
  <c r="E13" i="3"/>
  <c r="G13" i="3" s="1"/>
  <c r="E13" i="2"/>
  <c r="V13" i="2" s="1"/>
  <c r="J15" i="5" l="1"/>
  <c r="L15" i="5" s="1"/>
  <c r="K15" i="4"/>
  <c r="L15" i="4" s="1"/>
  <c r="K15" i="3"/>
  <c r="J15" i="3"/>
  <c r="J15" i="2"/>
  <c r="K15" i="2"/>
  <c r="I14" i="5"/>
  <c r="K14" i="4"/>
  <c r="I14" i="3"/>
  <c r="I14" i="2"/>
  <c r="F13" i="2"/>
  <c r="G13" i="5"/>
  <c r="V13" i="5"/>
  <c r="G13" i="4"/>
  <c r="V13" i="4"/>
  <c r="V13" i="3"/>
  <c r="G13" i="2"/>
  <c r="R15" i="5" l="1"/>
  <c r="P15" i="5"/>
  <c r="M15" i="5"/>
  <c r="U15" i="5"/>
  <c r="S15" i="5"/>
  <c r="O15" i="5"/>
  <c r="P15" i="4"/>
  <c r="R15" i="4"/>
  <c r="M15" i="4"/>
  <c r="Q15" i="4"/>
  <c r="S15" i="4"/>
  <c r="U15" i="4"/>
  <c r="T15" i="4"/>
  <c r="L15" i="3"/>
  <c r="L15" i="2"/>
  <c r="K14" i="5"/>
  <c r="J14" i="5"/>
  <c r="L14" i="4"/>
  <c r="J14" i="3"/>
  <c r="K14" i="3"/>
  <c r="K14" i="2"/>
  <c r="J14" i="2"/>
  <c r="H13" i="4"/>
  <c r="H13" i="3"/>
  <c r="H13" i="5"/>
  <c r="H13" i="2"/>
  <c r="T15" i="2" l="1"/>
  <c r="N15" i="2"/>
  <c r="R15" i="3"/>
  <c r="M15" i="3"/>
  <c r="S15" i="3"/>
  <c r="P15" i="3"/>
  <c r="U15" i="3"/>
  <c r="Q15" i="2"/>
  <c r="O15" i="2"/>
  <c r="R15" i="2"/>
  <c r="P15" i="2"/>
  <c r="S15" i="2"/>
  <c r="M15" i="2"/>
  <c r="L14" i="5"/>
  <c r="Q14" i="4"/>
  <c r="P14" i="4"/>
  <c r="M14" i="4"/>
  <c r="R14" i="4"/>
  <c r="S14" i="4"/>
  <c r="U14" i="4"/>
  <c r="L14" i="3"/>
  <c r="L14" i="2"/>
  <c r="I13" i="5"/>
  <c r="J13" i="5" s="1"/>
  <c r="I13" i="4"/>
  <c r="I13" i="3"/>
  <c r="I13" i="2"/>
  <c r="T12" i="5"/>
  <c r="O12" i="5"/>
  <c r="N12" i="5"/>
  <c r="F12" i="5"/>
  <c r="T12" i="4"/>
  <c r="O12" i="4"/>
  <c r="N12" i="4"/>
  <c r="T12" i="3"/>
  <c r="Q12" i="3"/>
  <c r="O12" i="3"/>
  <c r="N12" i="3"/>
  <c r="F12" i="3"/>
  <c r="E12" i="5"/>
  <c r="V12" i="5" s="1"/>
  <c r="E12" i="4"/>
  <c r="V12" i="4" s="1"/>
  <c r="E12" i="3"/>
  <c r="V12" i="3" s="1"/>
  <c r="E12" i="2"/>
  <c r="V12" i="2" s="1"/>
  <c r="T14" i="2" l="1"/>
  <c r="O14" i="2"/>
  <c r="N14" i="2"/>
  <c r="Q14" i="2"/>
  <c r="F12" i="2"/>
  <c r="U14" i="5"/>
  <c r="R14" i="5"/>
  <c r="P14" i="5"/>
  <c r="S14" i="5"/>
  <c r="M14" i="5"/>
  <c r="S14" i="3"/>
  <c r="Q14" i="3"/>
  <c r="T14" i="3"/>
  <c r="U14" i="3"/>
  <c r="M14" i="3"/>
  <c r="P14" i="3"/>
  <c r="R14" i="3"/>
  <c r="S14" i="2"/>
  <c r="R14" i="2"/>
  <c r="M14" i="2"/>
  <c r="P14" i="2"/>
  <c r="K13" i="5"/>
  <c r="K13" i="4"/>
  <c r="J13" i="4"/>
  <c r="J13" i="3"/>
  <c r="K13" i="3"/>
  <c r="K13" i="2"/>
  <c r="J13" i="2"/>
  <c r="F12" i="4"/>
  <c r="G12" i="5"/>
  <c r="G12" i="4"/>
  <c r="G12" i="3"/>
  <c r="G12" i="2"/>
  <c r="T11" i="5"/>
  <c r="Q11" i="5"/>
  <c r="O11" i="5"/>
  <c r="N11" i="5"/>
  <c r="F11" i="5"/>
  <c r="O11" i="4"/>
  <c r="N11" i="4"/>
  <c r="F11" i="4"/>
  <c r="E11" i="4"/>
  <c r="T11" i="3"/>
  <c r="Q11" i="3"/>
  <c r="O11" i="3"/>
  <c r="N11" i="3"/>
  <c r="F11" i="3"/>
  <c r="L13" i="5" l="1"/>
  <c r="L13" i="4"/>
  <c r="L13" i="3"/>
  <c r="L13" i="2"/>
  <c r="H12" i="5"/>
  <c r="H12" i="3"/>
  <c r="H12" i="2"/>
  <c r="H12" i="4"/>
  <c r="E11" i="5"/>
  <c r="E11" i="3"/>
  <c r="E11" i="2"/>
  <c r="F11" i="2" s="1"/>
  <c r="N13" i="2" l="1"/>
  <c r="Q13" i="2"/>
  <c r="T13" i="2"/>
  <c r="O13" i="2"/>
  <c r="U13" i="5"/>
  <c r="R13" i="5"/>
  <c r="S13" i="5"/>
  <c r="P13" i="5"/>
  <c r="M13" i="5"/>
  <c r="U13" i="4"/>
  <c r="P13" i="4"/>
  <c r="S13" i="4"/>
  <c r="R13" i="4"/>
  <c r="M13" i="4"/>
  <c r="P13" i="3"/>
  <c r="U13" i="3"/>
  <c r="M13" i="3"/>
  <c r="R13" i="3"/>
  <c r="S13" i="3"/>
  <c r="M13" i="2"/>
  <c r="R13" i="2"/>
  <c r="P13" i="2"/>
  <c r="S13" i="2"/>
  <c r="I12" i="5"/>
  <c r="I12" i="4"/>
  <c r="K12" i="4" s="1"/>
  <c r="I12" i="3"/>
  <c r="I12" i="2"/>
  <c r="V11" i="5"/>
  <c r="G11" i="5"/>
  <c r="V11" i="4"/>
  <c r="G11" i="4"/>
  <c r="V11" i="3"/>
  <c r="G11" i="3"/>
  <c r="V11" i="2"/>
  <c r="G11" i="2"/>
  <c r="J12" i="5" l="1"/>
  <c r="K12" i="5"/>
  <c r="J12" i="4"/>
  <c r="J12" i="3"/>
  <c r="K12" i="3"/>
  <c r="K12" i="2"/>
  <c r="J12" i="2"/>
  <c r="H11" i="5"/>
  <c r="H11" i="4"/>
  <c r="H11" i="3"/>
  <c r="H11" i="2"/>
  <c r="L12" i="5" l="1"/>
  <c r="L12" i="4"/>
  <c r="L12" i="3"/>
  <c r="L12" i="2"/>
  <c r="I11" i="5"/>
  <c r="I11" i="4"/>
  <c r="I11" i="3"/>
  <c r="K11" i="3" s="1"/>
  <c r="I11" i="2"/>
  <c r="T10" i="5"/>
  <c r="Q10" i="5"/>
  <c r="O10" i="5"/>
  <c r="N10" i="5"/>
  <c r="F10" i="5"/>
  <c r="T10" i="4"/>
  <c r="Q10" i="4"/>
  <c r="O10" i="4"/>
  <c r="N10" i="4"/>
  <c r="F10" i="4"/>
  <c r="T10" i="3"/>
  <c r="Q10" i="3"/>
  <c r="O10" i="3"/>
  <c r="N10" i="3"/>
  <c r="F10" i="3"/>
  <c r="T12" i="2" l="1"/>
  <c r="O12" i="2"/>
  <c r="N12" i="2"/>
  <c r="Q12" i="5"/>
  <c r="U12" i="5"/>
  <c r="S12" i="5"/>
  <c r="P12" i="5"/>
  <c r="R12" i="5"/>
  <c r="M12" i="5"/>
  <c r="Q12" i="4"/>
  <c r="M12" i="4"/>
  <c r="R12" i="4"/>
  <c r="U12" i="4"/>
  <c r="S12" i="4"/>
  <c r="P12" i="4"/>
  <c r="P12" i="3"/>
  <c r="R12" i="3"/>
  <c r="S12" i="3"/>
  <c r="U12" i="3"/>
  <c r="M12" i="3"/>
  <c r="Q12" i="2"/>
  <c r="S12" i="2"/>
  <c r="R12" i="2"/>
  <c r="P12" i="2"/>
  <c r="M12" i="2"/>
  <c r="K11" i="5"/>
  <c r="J11" i="5"/>
  <c r="J11" i="4"/>
  <c r="K11" i="4"/>
  <c r="J11" i="3"/>
  <c r="J11" i="2"/>
  <c r="K11" i="2"/>
  <c r="E10" i="5"/>
  <c r="E10" i="4"/>
  <c r="V10" i="4" s="1"/>
  <c r="E10" i="3"/>
  <c r="V10" i="3" s="1"/>
  <c r="E10" i="2"/>
  <c r="L11" i="5" l="1"/>
  <c r="L11" i="4"/>
  <c r="L11" i="3"/>
  <c r="P11" i="3" s="1"/>
  <c r="U11" i="3"/>
  <c r="L11" i="2"/>
  <c r="V10" i="5"/>
  <c r="G10" i="5"/>
  <c r="G10" i="4"/>
  <c r="G10" i="3"/>
  <c r="V10" i="2"/>
  <c r="F10" i="2"/>
  <c r="G10" i="2"/>
  <c r="T11" i="2" l="1"/>
  <c r="N11" i="2"/>
  <c r="Q11" i="2"/>
  <c r="O11" i="2"/>
  <c r="P11" i="5"/>
  <c r="U11" i="5"/>
  <c r="S11" i="5"/>
  <c r="M11" i="5"/>
  <c r="R11" i="5"/>
  <c r="T11" i="4"/>
  <c r="Q11" i="4"/>
  <c r="P11" i="4"/>
  <c r="S11" i="4"/>
  <c r="U11" i="4"/>
  <c r="R11" i="4"/>
  <c r="M11" i="4"/>
  <c r="M11" i="3"/>
  <c r="R11" i="3"/>
  <c r="S11" i="3"/>
  <c r="M11" i="2"/>
  <c r="R11" i="2"/>
  <c r="P11" i="2"/>
  <c r="S11" i="2"/>
  <c r="H10" i="4"/>
  <c r="H10" i="3"/>
  <c r="H10" i="2"/>
  <c r="H10" i="5"/>
  <c r="O9" i="5"/>
  <c r="T9" i="5"/>
  <c r="Q9" i="5"/>
  <c r="N9" i="5"/>
  <c r="F9" i="5"/>
  <c r="O9" i="4"/>
  <c r="N9" i="4"/>
  <c r="T9" i="3"/>
  <c r="O9" i="3"/>
  <c r="N9" i="3"/>
  <c r="F9" i="3"/>
  <c r="I10" i="5" l="1"/>
  <c r="J10" i="5" s="1"/>
  <c r="I10" i="4"/>
  <c r="I10" i="3"/>
  <c r="I10" i="2"/>
  <c r="E9" i="5"/>
  <c r="E9" i="4"/>
  <c r="V9" i="4" s="1"/>
  <c r="E9" i="3"/>
  <c r="E9" i="2"/>
  <c r="K10" i="5" l="1"/>
  <c r="L10" i="5"/>
  <c r="J10" i="4"/>
  <c r="K10" i="4"/>
  <c r="K10" i="3"/>
  <c r="J10" i="3"/>
  <c r="L10" i="3" s="1"/>
  <c r="S10" i="3" s="1"/>
  <c r="J10" i="2"/>
  <c r="K10" i="2"/>
  <c r="P10" i="5"/>
  <c r="M10" i="5"/>
  <c r="S10" i="5"/>
  <c r="R10" i="5"/>
  <c r="U10" i="5"/>
  <c r="P10" i="3"/>
  <c r="F9" i="4"/>
  <c r="F9" i="2"/>
  <c r="V9" i="5"/>
  <c r="G9" i="5"/>
  <c r="G9" i="4"/>
  <c r="V9" i="3"/>
  <c r="G9" i="3"/>
  <c r="V9" i="2"/>
  <c r="G9" i="2"/>
  <c r="T8" i="5"/>
  <c r="Q8" i="5"/>
  <c r="O8" i="5"/>
  <c r="N8" i="5"/>
  <c r="T8" i="3"/>
  <c r="N8" i="3"/>
  <c r="L10" i="4" l="1"/>
  <c r="U10" i="4" s="1"/>
  <c r="P10" i="4"/>
  <c r="R10" i="4"/>
  <c r="M10" i="3"/>
  <c r="R10" i="3"/>
  <c r="U10" i="3"/>
  <c r="L10" i="2"/>
  <c r="H9" i="5"/>
  <c r="H9" i="4"/>
  <c r="H9" i="3"/>
  <c r="H9" i="2"/>
  <c r="F8" i="4"/>
  <c r="T10" i="2" l="1"/>
  <c r="N10" i="2"/>
  <c r="M10" i="4"/>
  <c r="S10" i="4"/>
  <c r="O10" i="2"/>
  <c r="S10" i="2"/>
  <c r="Q10" i="2"/>
  <c r="P10" i="2"/>
  <c r="R10" i="2"/>
  <c r="M10" i="2"/>
  <c r="I9" i="5"/>
  <c r="I9" i="4"/>
  <c r="I9" i="3"/>
  <c r="I9" i="2"/>
  <c r="E8" i="5"/>
  <c r="E8" i="4"/>
  <c r="V8" i="4" s="1"/>
  <c r="E8" i="3"/>
  <c r="V8" i="3" s="1"/>
  <c r="A8" i="2"/>
  <c r="A9" i="2" s="1"/>
  <c r="E8" i="2"/>
  <c r="V8" i="2" l="1"/>
  <c r="F8" i="2"/>
  <c r="A8" i="4"/>
  <c r="A8" i="5"/>
  <c r="A10" i="2"/>
  <c r="A9" i="3"/>
  <c r="A9" i="4"/>
  <c r="A9" i="6"/>
  <c r="A9" i="5"/>
  <c r="A8" i="3"/>
  <c r="A8" i="6"/>
  <c r="J9" i="5"/>
  <c r="K9" i="5"/>
  <c r="J9" i="4"/>
  <c r="K9" i="4"/>
  <c r="K9" i="3"/>
  <c r="J9" i="3"/>
  <c r="J9" i="2"/>
  <c r="K9" i="2"/>
  <c r="F8" i="3"/>
  <c r="V8" i="5"/>
  <c r="F8" i="5"/>
  <c r="G8" i="5"/>
  <c r="G8" i="4"/>
  <c r="G8" i="3"/>
  <c r="G8" i="2"/>
  <c r="A11" i="2" l="1"/>
  <c r="A10" i="5"/>
  <c r="A10" i="4"/>
  <c r="A10" i="6"/>
  <c r="A10" i="3"/>
  <c r="L9" i="5"/>
  <c r="L9" i="4"/>
  <c r="L9" i="3"/>
  <c r="L9" i="2"/>
  <c r="H8" i="5"/>
  <c r="H8" i="4"/>
  <c r="H8" i="3"/>
  <c r="H8" i="2"/>
  <c r="T7" i="5"/>
  <c r="Q7" i="5"/>
  <c r="O7" i="5"/>
  <c r="N7" i="5"/>
  <c r="T7" i="4"/>
  <c r="Q7" i="4"/>
  <c r="O7" i="4"/>
  <c r="N7" i="4"/>
  <c r="T7" i="3"/>
  <c r="Q7" i="3"/>
  <c r="O7" i="3"/>
  <c r="N7" i="3"/>
  <c r="F7" i="3"/>
  <c r="A7" i="6"/>
  <c r="E7" i="5"/>
  <c r="G7" i="5" s="1"/>
  <c r="A7" i="5"/>
  <c r="E7" i="4"/>
  <c r="V7" i="4" s="1"/>
  <c r="A7" i="4"/>
  <c r="E7" i="3"/>
  <c r="A7" i="3"/>
  <c r="E7" i="2"/>
  <c r="V7" i="2" s="1"/>
  <c r="O9" i="2" l="1"/>
  <c r="N9" i="2"/>
  <c r="F7" i="2"/>
  <c r="A12" i="2"/>
  <c r="A11" i="3"/>
  <c r="A11" i="4"/>
  <c r="A11" i="6"/>
  <c r="A11" i="5"/>
  <c r="U9" i="5"/>
  <c r="M9" i="5"/>
  <c r="S9" i="5"/>
  <c r="R9" i="5"/>
  <c r="P9" i="5"/>
  <c r="Q9" i="4"/>
  <c r="P9" i="4"/>
  <c r="T9" i="4"/>
  <c r="M9" i="4"/>
  <c r="U9" i="4"/>
  <c r="S9" i="4"/>
  <c r="R9" i="4"/>
  <c r="U9" i="3"/>
  <c r="S9" i="3"/>
  <c r="R9" i="3"/>
  <c r="Q9" i="3"/>
  <c r="P9" i="3"/>
  <c r="M9" i="3"/>
  <c r="T9" i="2"/>
  <c r="R9" i="2"/>
  <c r="Q9" i="2"/>
  <c r="S9" i="2"/>
  <c r="P9" i="2"/>
  <c r="M9" i="2"/>
  <c r="I8" i="5"/>
  <c r="I8" i="4"/>
  <c r="I8" i="3"/>
  <c r="J8" i="3" s="1"/>
  <c r="I8" i="2"/>
  <c r="J8" i="2" s="1"/>
  <c r="F7" i="5"/>
  <c r="F7" i="4"/>
  <c r="V7" i="5"/>
  <c r="G7" i="4"/>
  <c r="V7" i="3"/>
  <c r="G7" i="3"/>
  <c r="G7" i="2"/>
  <c r="T6" i="5"/>
  <c r="O6" i="5"/>
  <c r="N6" i="5"/>
  <c r="F6" i="5"/>
  <c r="T6" i="4"/>
  <c r="Q6" i="4"/>
  <c r="O6" i="4"/>
  <c r="N6" i="4"/>
  <c r="F6" i="4"/>
  <c r="T6" i="3"/>
  <c r="O6" i="3"/>
  <c r="N6" i="3"/>
  <c r="A13" i="2" l="1"/>
  <c r="A12" i="6"/>
  <c r="A12" i="5"/>
  <c r="A12" i="4"/>
  <c r="A12" i="3"/>
  <c r="J8" i="5"/>
  <c r="K8" i="5"/>
  <c r="J8" i="4"/>
  <c r="K8" i="4"/>
  <c r="K8" i="3"/>
  <c r="L8" i="3" s="1"/>
  <c r="K8" i="2"/>
  <c r="H7" i="5"/>
  <c r="H7" i="4"/>
  <c r="H7" i="3"/>
  <c r="H7" i="2"/>
  <c r="A14" i="2" l="1"/>
  <c r="A13" i="6"/>
  <c r="A13" i="4"/>
  <c r="A13" i="5"/>
  <c r="A13" i="3"/>
  <c r="L8" i="5"/>
  <c r="L8" i="4"/>
  <c r="Q8" i="3"/>
  <c r="O8" i="3"/>
  <c r="R8" i="3"/>
  <c r="P8" i="3"/>
  <c r="M8" i="3"/>
  <c r="S8" i="3"/>
  <c r="U8" i="3"/>
  <c r="L8" i="2"/>
  <c r="I7" i="5"/>
  <c r="I7" i="4"/>
  <c r="I7" i="3"/>
  <c r="I7" i="2"/>
  <c r="O8" i="2" l="1"/>
  <c r="N8" i="2"/>
  <c r="T8" i="2"/>
  <c r="A15" i="2"/>
  <c r="A14" i="6"/>
  <c r="A14" i="5"/>
  <c r="A14" i="4"/>
  <c r="A14" i="3"/>
  <c r="U8" i="5"/>
  <c r="M8" i="5"/>
  <c r="S8" i="5"/>
  <c r="P8" i="5"/>
  <c r="R8" i="5"/>
  <c r="O8" i="4"/>
  <c r="N8" i="4"/>
  <c r="T8" i="4"/>
  <c r="Q8" i="4"/>
  <c r="S8" i="4"/>
  <c r="R8" i="4"/>
  <c r="P8" i="4"/>
  <c r="U8" i="4"/>
  <c r="M8" i="4"/>
  <c r="R8" i="2"/>
  <c r="Q8" i="2"/>
  <c r="S8" i="2"/>
  <c r="P8" i="2"/>
  <c r="M8" i="2"/>
  <c r="J7" i="5"/>
  <c r="K7" i="5"/>
  <c r="K7" i="4"/>
  <c r="J7" i="4"/>
  <c r="K7" i="3"/>
  <c r="J7" i="3"/>
  <c r="J7" i="2"/>
  <c r="K7" i="2"/>
  <c r="A16" i="2" l="1"/>
  <c r="A15" i="6"/>
  <c r="A15" i="5"/>
  <c r="A15" i="4"/>
  <c r="A15" i="3"/>
  <c r="L7" i="5"/>
  <c r="L7" i="4"/>
  <c r="L7" i="3"/>
  <c r="L7" i="2"/>
  <c r="D60" i="4"/>
  <c r="O7" i="2" l="1"/>
  <c r="N7" i="2"/>
  <c r="T7" i="2"/>
  <c r="A17" i="2"/>
  <c r="A16" i="5"/>
  <c r="A16" i="4"/>
  <c r="A16" i="3"/>
  <c r="A16" i="6"/>
  <c r="M7" i="5"/>
  <c r="P7" i="5"/>
  <c r="S7" i="5"/>
  <c r="R7" i="5"/>
  <c r="U7" i="5"/>
  <c r="M7" i="4"/>
  <c r="S7" i="4"/>
  <c r="R7" i="4"/>
  <c r="P7" i="4"/>
  <c r="U7" i="4"/>
  <c r="U7" i="3"/>
  <c r="M7" i="3"/>
  <c r="P7" i="3"/>
  <c r="S7" i="3"/>
  <c r="R7" i="3"/>
  <c r="R7" i="2"/>
  <c r="S7" i="2"/>
  <c r="P7" i="2"/>
  <c r="M7" i="2"/>
  <c r="Q7" i="2"/>
  <c r="C60" i="5"/>
  <c r="D60" i="5"/>
  <c r="C60" i="4"/>
  <c r="C60" i="3"/>
  <c r="D60" i="3"/>
  <c r="C60" i="2"/>
  <c r="D60" i="2"/>
  <c r="A18" i="2" l="1"/>
  <c r="A17" i="3"/>
  <c r="A17" i="6"/>
  <c r="A17" i="5"/>
  <c r="A17" i="4"/>
  <c r="D14" i="7"/>
  <c r="A19" i="2" l="1"/>
  <c r="A18" i="6"/>
  <c r="A18" i="3"/>
  <c r="A18" i="5"/>
  <c r="A18" i="4"/>
  <c r="A20" i="2" l="1"/>
  <c r="A19" i="4"/>
  <c r="A19" i="3"/>
  <c r="A19" i="6"/>
  <c r="A19" i="5"/>
  <c r="A6" i="6"/>
  <c r="E6" i="5"/>
  <c r="A6" i="5"/>
  <c r="E6" i="3"/>
  <c r="F6" i="3" s="1"/>
  <c r="E6" i="4"/>
  <c r="A6" i="4"/>
  <c r="A6" i="3"/>
  <c r="E6" i="2"/>
  <c r="F6" i="2" s="1"/>
  <c r="A21" i="2" l="1"/>
  <c r="A20" i="5"/>
  <c r="A20" i="4"/>
  <c r="A20" i="3"/>
  <c r="A20" i="6"/>
  <c r="E60" i="3"/>
  <c r="E60" i="2"/>
  <c r="E60" i="5"/>
  <c r="E60" i="4"/>
  <c r="A22" i="2" l="1"/>
  <c r="A21" i="4"/>
  <c r="A21" i="5"/>
  <c r="A21" i="3"/>
  <c r="A21" i="6"/>
  <c r="F60" i="5"/>
  <c r="F20" i="7" s="1"/>
  <c r="F60" i="4"/>
  <c r="F18" i="7" s="1"/>
  <c r="F60" i="3"/>
  <c r="F16" i="7" s="1"/>
  <c r="F60" i="2"/>
  <c r="F14" i="7" s="1"/>
  <c r="G6" i="5"/>
  <c r="G6" i="4"/>
  <c r="G6" i="3"/>
  <c r="V6" i="2"/>
  <c r="V6" i="5"/>
  <c r="V6" i="4"/>
  <c r="G6" i="2"/>
  <c r="V6" i="3"/>
  <c r="A23" i="2" l="1"/>
  <c r="A22" i="5"/>
  <c r="A22" i="6"/>
  <c r="A22" i="4"/>
  <c r="A22" i="3"/>
  <c r="G60" i="5"/>
  <c r="G20" i="7" s="1"/>
  <c r="G60" i="4"/>
  <c r="G60" i="3"/>
  <c r="G60" i="2"/>
  <c r="H6" i="5"/>
  <c r="H6" i="4"/>
  <c r="H6" i="3"/>
  <c r="H6" i="2"/>
  <c r="A24" i="2" l="1"/>
  <c r="A23" i="4"/>
  <c r="A23" i="3"/>
  <c r="A23" i="6"/>
  <c r="A23" i="5"/>
  <c r="H60" i="5"/>
  <c r="H20" i="7" s="1"/>
  <c r="H60" i="4"/>
  <c r="H60" i="3"/>
  <c r="H60" i="2"/>
  <c r="I6" i="5"/>
  <c r="I60" i="5" s="1"/>
  <c r="I6" i="4"/>
  <c r="I60" i="4" s="1"/>
  <c r="I6" i="3"/>
  <c r="I60" i="3" s="1"/>
  <c r="I6" i="2"/>
  <c r="A25" i="2" l="1"/>
  <c r="A24" i="6"/>
  <c r="A24" i="3"/>
  <c r="A24" i="5"/>
  <c r="A24" i="4"/>
  <c r="I60" i="2"/>
  <c r="K6" i="5"/>
  <c r="J6" i="5"/>
  <c r="K6" i="4"/>
  <c r="J6" i="4"/>
  <c r="K6" i="3"/>
  <c r="J6" i="3"/>
  <c r="K6" i="2"/>
  <c r="J6" i="2"/>
  <c r="W60" i="5"/>
  <c r="W60" i="4"/>
  <c r="W60" i="3"/>
  <c r="A26" i="2" l="1"/>
  <c r="A25" i="6"/>
  <c r="A25" i="5"/>
  <c r="A25" i="4"/>
  <c r="A25" i="3"/>
  <c r="J60" i="5"/>
  <c r="K60" i="5"/>
  <c r="J20" i="7" s="1"/>
  <c r="K60" i="4"/>
  <c r="J60" i="4"/>
  <c r="J60" i="3"/>
  <c r="K60" i="3"/>
  <c r="J60" i="2"/>
  <c r="K60" i="2"/>
  <c r="L6" i="5"/>
  <c r="L6" i="4"/>
  <c r="L6" i="3"/>
  <c r="L6" i="2"/>
  <c r="L36" i="7"/>
  <c r="D20" i="7"/>
  <c r="C20" i="7"/>
  <c r="B60" i="5"/>
  <c r="L34" i="7"/>
  <c r="D18" i="7"/>
  <c r="C18" i="7"/>
  <c r="B60" i="4"/>
  <c r="B18" i="7" s="1"/>
  <c r="L32" i="7"/>
  <c r="B60" i="3"/>
  <c r="B16" i="7" s="1"/>
  <c r="W60" i="2"/>
  <c r="B60" i="2"/>
  <c r="B14" i="7" s="1"/>
  <c r="O6" i="2" l="1"/>
  <c r="N6" i="2"/>
  <c r="A27" i="2"/>
  <c r="A26" i="6"/>
  <c r="A26" i="5"/>
  <c r="A26" i="4"/>
  <c r="A26" i="3"/>
  <c r="Q6" i="5"/>
  <c r="Q6" i="3"/>
  <c r="L60" i="5"/>
  <c r="L60" i="4"/>
  <c r="L60" i="3"/>
  <c r="L60" i="2"/>
  <c r="T6" i="2"/>
  <c r="Q6" i="2"/>
  <c r="L30" i="7"/>
  <c r="C16" i="7"/>
  <c r="D16" i="7"/>
  <c r="C14" i="7"/>
  <c r="E18" i="7"/>
  <c r="V60" i="2"/>
  <c r="M6" i="5"/>
  <c r="U6" i="5"/>
  <c r="S6" i="5"/>
  <c r="P6" i="5"/>
  <c r="R6" i="5"/>
  <c r="R6" i="4"/>
  <c r="U6" i="4"/>
  <c r="S6" i="4"/>
  <c r="M6" i="4"/>
  <c r="P6" i="4"/>
  <c r="S6" i="3"/>
  <c r="M6" i="3"/>
  <c r="P6" i="3"/>
  <c r="R6" i="3"/>
  <c r="U6" i="3"/>
  <c r="R6" i="2"/>
  <c r="P6" i="2"/>
  <c r="M6" i="2"/>
  <c r="S6" i="2"/>
  <c r="V60" i="3"/>
  <c r="K32" i="7" s="1"/>
  <c r="E20" i="7"/>
  <c r="A28" i="2" l="1"/>
  <c r="A27" i="6"/>
  <c r="A27" i="5"/>
  <c r="A27" i="4"/>
  <c r="A27" i="3"/>
  <c r="N60" i="5"/>
  <c r="O60" i="5"/>
  <c r="D36" i="7" s="1"/>
  <c r="Q60" i="4"/>
  <c r="N60" i="3"/>
  <c r="O60" i="3"/>
  <c r="D32" i="7" s="1"/>
  <c r="S60" i="5"/>
  <c r="H36" i="7" s="1"/>
  <c r="R60" i="5"/>
  <c r="G36" i="7" s="1"/>
  <c r="M60" i="5"/>
  <c r="B36" i="7" s="1"/>
  <c r="P60" i="5"/>
  <c r="E36" i="7" s="1"/>
  <c r="Q60" i="5"/>
  <c r="F36" i="7" s="1"/>
  <c r="P60" i="4"/>
  <c r="E34" i="7" s="1"/>
  <c r="M60" i="4"/>
  <c r="B34" i="7" s="1"/>
  <c r="T60" i="4"/>
  <c r="I34" i="7" s="1"/>
  <c r="S60" i="4"/>
  <c r="H34" i="7" s="1"/>
  <c r="N60" i="4"/>
  <c r="U60" i="4"/>
  <c r="J34" i="7" s="1"/>
  <c r="O60" i="4"/>
  <c r="D34" i="7" s="1"/>
  <c r="R60" i="4"/>
  <c r="G34" i="7" s="1"/>
  <c r="M60" i="3"/>
  <c r="B32" i="7" s="1"/>
  <c r="U60" i="3"/>
  <c r="J32" i="7" s="1"/>
  <c r="S60" i="3"/>
  <c r="H32" i="7" s="1"/>
  <c r="R60" i="3"/>
  <c r="G32" i="7" s="1"/>
  <c r="Q60" i="3"/>
  <c r="P60" i="3"/>
  <c r="T60" i="3"/>
  <c r="I32" i="7" s="1"/>
  <c r="S60" i="2"/>
  <c r="H30" i="7" s="1"/>
  <c r="M60" i="2"/>
  <c r="B30" i="7" s="1"/>
  <c r="Q60" i="2"/>
  <c r="P60" i="2"/>
  <c r="N60" i="2"/>
  <c r="R60" i="2"/>
  <c r="G30" i="7" s="1"/>
  <c r="O60" i="2"/>
  <c r="K30" i="7"/>
  <c r="E16" i="7"/>
  <c r="E14" i="7"/>
  <c r="V60" i="5"/>
  <c r="K36" i="7" s="1"/>
  <c r="G18" i="7"/>
  <c r="V60" i="4"/>
  <c r="K34" i="7" s="1"/>
  <c r="A29" i="2" l="1"/>
  <c r="A28" i="4"/>
  <c r="A28" i="3"/>
  <c r="A28" i="6"/>
  <c r="A28" i="5"/>
  <c r="F30" i="7"/>
  <c r="G16" i="7"/>
  <c r="G14" i="7"/>
  <c r="H18" i="7"/>
  <c r="A30" i="2" l="1"/>
  <c r="A29" i="4"/>
  <c r="A29" i="6"/>
  <c r="A29" i="5"/>
  <c r="A29" i="3"/>
  <c r="H16" i="7"/>
  <c r="H14" i="7"/>
  <c r="A31" i="2" l="1"/>
  <c r="A30" i="4"/>
  <c r="A30" i="3"/>
  <c r="A30" i="6"/>
  <c r="A30" i="5"/>
  <c r="J18" i="7"/>
  <c r="I18" i="7"/>
  <c r="A32" i="2" l="1"/>
  <c r="A31" i="4"/>
  <c r="A31" i="6"/>
  <c r="A31" i="5"/>
  <c r="A31" i="3"/>
  <c r="J16" i="7"/>
  <c r="I16" i="7"/>
  <c r="I14" i="7"/>
  <c r="J14" i="7"/>
  <c r="K20" i="7"/>
  <c r="K18" i="7"/>
  <c r="A33" i="2" l="1"/>
  <c r="A34" i="2" s="1"/>
  <c r="A32" i="3"/>
  <c r="A32" i="6"/>
  <c r="A32" i="5"/>
  <c r="A32" i="4"/>
  <c r="K16" i="7"/>
  <c r="K14" i="7"/>
  <c r="J36" i="7"/>
  <c r="I36" i="7"/>
  <c r="F34" i="7"/>
  <c r="F32" i="7"/>
  <c r="I30" i="7"/>
  <c r="A35" i="2" l="1"/>
  <c r="A34" i="3"/>
  <c r="A34" i="5"/>
  <c r="A34" i="4"/>
  <c r="A34" i="6"/>
  <c r="A33" i="3"/>
  <c r="A33" i="5"/>
  <c r="A33" i="4"/>
  <c r="A33" i="6"/>
  <c r="A36" i="2" l="1"/>
  <c r="A35" i="6"/>
  <c r="A35" i="5"/>
  <c r="A35" i="4"/>
  <c r="A35" i="3"/>
  <c r="A37" i="2" l="1"/>
  <c r="A36" i="6"/>
  <c r="A36" i="3"/>
  <c r="A36" i="5"/>
  <c r="A36" i="4"/>
  <c r="A38" i="2" l="1"/>
  <c r="A37" i="6"/>
  <c r="A37" i="5"/>
  <c r="A37" i="4"/>
  <c r="A37" i="3"/>
  <c r="A39" i="2" l="1"/>
  <c r="A38" i="3"/>
  <c r="A38" i="6"/>
  <c r="A38" i="5"/>
  <c r="A38" i="4"/>
  <c r="A40" i="2" l="1"/>
  <c r="A39" i="4"/>
  <c r="A39" i="3"/>
  <c r="A39" i="6"/>
  <c r="A39" i="5"/>
  <c r="A41" i="2" l="1"/>
  <c r="A40" i="6"/>
  <c r="A40" i="5"/>
  <c r="A40" i="4"/>
  <c r="A40" i="3"/>
  <c r="A42" i="2" l="1"/>
  <c r="A41" i="4"/>
  <c r="A41" i="3"/>
  <c r="A41" i="6"/>
  <c r="A41" i="5"/>
  <c r="A43" i="2" l="1"/>
  <c r="A42" i="5"/>
  <c r="A42" i="4"/>
  <c r="A42" i="3"/>
  <c r="A42" i="6"/>
  <c r="A44" i="2" l="1"/>
  <c r="A43" i="6"/>
  <c r="A43" i="3"/>
  <c r="A43" i="5"/>
  <c r="A43" i="4"/>
  <c r="A45" i="2" l="1"/>
  <c r="A44" i="5"/>
  <c r="A44" i="6"/>
  <c r="A44" i="4"/>
  <c r="A44" i="3"/>
  <c r="W44" i="6"/>
  <c r="S25" i="6"/>
  <c r="D35" i="6"/>
  <c r="I6" i="6"/>
  <c r="O25" i="6"/>
  <c r="G18" i="6"/>
  <c r="B15" i="6"/>
  <c r="B22" i="6"/>
  <c r="W43" i="6"/>
  <c r="P19" i="6"/>
  <c r="P27" i="6"/>
  <c r="V40" i="6"/>
  <c r="H37" i="6"/>
  <c r="S27" i="6"/>
  <c r="D14" i="6"/>
  <c r="N20" i="6"/>
  <c r="O37" i="6"/>
  <c r="Q18" i="6"/>
  <c r="P32" i="6"/>
  <c r="B38" i="6"/>
  <c r="C34" i="6"/>
  <c r="W37" i="6"/>
  <c r="M15" i="6"/>
  <c r="V20" i="6"/>
  <c r="H11" i="6"/>
  <c r="E41" i="6"/>
  <c r="O12" i="6"/>
  <c r="G21" i="6"/>
  <c r="T18" i="6"/>
  <c r="T13" i="6"/>
  <c r="E33" i="6"/>
  <c r="K28" i="6"/>
  <c r="R36" i="6"/>
  <c r="R43" i="6"/>
  <c r="E42" i="6"/>
  <c r="W17" i="6"/>
  <c r="K44" i="6"/>
  <c r="D32" i="6"/>
  <c r="K35" i="6"/>
  <c r="F28" i="6"/>
  <c r="R13" i="6"/>
  <c r="W40" i="6"/>
  <c r="R8" i="6"/>
  <c r="J43" i="6"/>
  <c r="W27" i="6"/>
  <c r="Q44" i="6"/>
  <c r="K24" i="6"/>
  <c r="R7" i="6"/>
  <c r="J15" i="6"/>
  <c r="C26" i="6"/>
  <c r="J23" i="6"/>
  <c r="C11" i="6"/>
  <c r="I18" i="6"/>
  <c r="S41" i="6"/>
  <c r="O7" i="6"/>
  <c r="C36" i="6"/>
  <c r="P23" i="6"/>
  <c r="K33" i="6"/>
  <c r="C42" i="6"/>
  <c r="H31" i="6"/>
  <c r="L35" i="6"/>
  <c r="H8" i="6"/>
  <c r="R30" i="6"/>
  <c r="S15" i="6"/>
  <c r="P14" i="6"/>
  <c r="J40" i="6"/>
  <c r="D17" i="6"/>
  <c r="T31" i="6"/>
  <c r="H42" i="6"/>
  <c r="E18" i="6"/>
  <c r="B26" i="6"/>
  <c r="N39" i="6"/>
  <c r="E17" i="6"/>
  <c r="F9" i="6"/>
  <c r="C30" i="6"/>
  <c r="E44" i="6"/>
  <c r="I20" i="6"/>
  <c r="C8" i="6"/>
  <c r="U44" i="6"/>
  <c r="N13" i="6"/>
  <c r="C12" i="6"/>
  <c r="G16" i="6"/>
  <c r="D33" i="6"/>
  <c r="W24" i="6"/>
  <c r="V41" i="6"/>
  <c r="Q31" i="6"/>
  <c r="C39" i="6"/>
  <c r="M29" i="6"/>
  <c r="G42" i="6"/>
  <c r="U24" i="6"/>
  <c r="F21" i="6"/>
  <c r="R9" i="6"/>
  <c r="H40" i="6"/>
  <c r="M23" i="6"/>
  <c r="D9" i="6"/>
  <c r="L24" i="6"/>
  <c r="D25" i="6"/>
  <c r="P44" i="6"/>
  <c r="K27" i="6"/>
  <c r="Q21" i="6"/>
  <c r="H29" i="6"/>
  <c r="B12" i="6"/>
  <c r="S6" i="6"/>
  <c r="F39" i="6"/>
  <c r="S36" i="6"/>
  <c r="Q32" i="6"/>
  <c r="R20" i="6"/>
  <c r="H12" i="6"/>
  <c r="I25" i="6"/>
  <c r="G9" i="6"/>
  <c r="G30" i="6"/>
  <c r="G40" i="6"/>
  <c r="M37" i="6"/>
  <c r="W8" i="6"/>
  <c r="E31" i="6"/>
  <c r="G15" i="6"/>
  <c r="V19" i="6"/>
  <c r="C43" i="6"/>
  <c r="B21" i="6"/>
  <c r="V32" i="6"/>
  <c r="E29" i="6"/>
  <c r="L15" i="6"/>
  <c r="C16" i="6"/>
  <c r="E38" i="6"/>
  <c r="G33" i="6"/>
  <c r="E23" i="6"/>
  <c r="T32" i="6"/>
  <c r="G35" i="6"/>
  <c r="K34" i="6"/>
  <c r="B42" i="6"/>
  <c r="N29" i="6"/>
  <c r="K19" i="6"/>
  <c r="K40" i="6"/>
  <c r="B39" i="6"/>
  <c r="S32" i="6"/>
  <c r="V6" i="6"/>
  <c r="U18" i="6"/>
  <c r="D23" i="6"/>
  <c r="D11" i="6"/>
  <c r="D38" i="6"/>
  <c r="S43" i="6"/>
  <c r="R32" i="6"/>
  <c r="K17" i="6"/>
  <c r="B37" i="6"/>
  <c r="J12" i="6"/>
  <c r="G37" i="6"/>
  <c r="B13" i="6"/>
  <c r="B18" i="6"/>
  <c r="O38" i="6"/>
  <c r="G10" i="6"/>
  <c r="N9" i="6"/>
  <c r="P34" i="6"/>
  <c r="T44" i="6"/>
  <c r="N21" i="6"/>
  <c r="V44" i="6"/>
  <c r="J17" i="6"/>
  <c r="T28" i="6"/>
  <c r="F44" i="6"/>
  <c r="C22" i="6"/>
  <c r="I37" i="6"/>
  <c r="U7" i="6"/>
  <c r="V17" i="6"/>
  <c r="J24" i="6"/>
  <c r="M41" i="6"/>
  <c r="D43" i="6"/>
  <c r="H35" i="6"/>
  <c r="O39" i="6"/>
  <c r="I30" i="6"/>
  <c r="D34" i="6"/>
  <c r="B32" i="6"/>
  <c r="V36" i="6"/>
  <c r="N34" i="6"/>
  <c r="H17" i="6"/>
  <c r="Q20" i="6"/>
  <c r="H44" i="6"/>
  <c r="B6" i="6"/>
  <c r="R18" i="6"/>
  <c r="V31" i="6"/>
  <c r="I11" i="6"/>
  <c r="S17" i="6"/>
  <c r="Q37" i="6"/>
  <c r="O16" i="6"/>
  <c r="N22" i="6"/>
  <c r="V38" i="6"/>
  <c r="E35" i="6"/>
  <c r="C21" i="6"/>
  <c r="E8" i="6"/>
  <c r="H21" i="6"/>
  <c r="N44" i="6"/>
  <c r="L12" i="6"/>
  <c r="B10" i="6"/>
  <c r="V30" i="6"/>
  <c r="O42" i="6"/>
  <c r="E21" i="6"/>
  <c r="U12" i="6"/>
  <c r="N43" i="6"/>
  <c r="T39" i="6"/>
  <c r="J20" i="6"/>
  <c r="L19" i="6"/>
  <c r="W25" i="6"/>
  <c r="K43" i="6"/>
  <c r="V9" i="6"/>
  <c r="V14" i="6"/>
  <c r="N11" i="6"/>
  <c r="K29" i="6"/>
  <c r="Q19" i="6"/>
  <c r="O9" i="6"/>
  <c r="W14" i="6"/>
  <c r="D39" i="6"/>
  <c r="S34" i="6"/>
  <c r="L41" i="6"/>
  <c r="C40" i="6"/>
  <c r="O23" i="6"/>
  <c r="C29" i="6"/>
  <c r="I42" i="6"/>
  <c r="E32" i="6"/>
  <c r="C17" i="6"/>
  <c r="C33" i="6"/>
  <c r="K36" i="6"/>
  <c r="V16" i="6"/>
  <c r="L28" i="6"/>
  <c r="R15" i="6"/>
  <c r="D40" i="6"/>
  <c r="O22" i="6"/>
  <c r="R37" i="6"/>
  <c r="D44" i="6"/>
  <c r="B28" i="6"/>
  <c r="K16" i="6"/>
  <c r="P30" i="6"/>
  <c r="K42" i="6"/>
  <c r="L23" i="6"/>
  <c r="J27" i="6"/>
  <c r="K13" i="6"/>
  <c r="G34" i="6"/>
  <c r="P10" i="6"/>
  <c r="M8" i="6"/>
  <c r="P11" i="6"/>
  <c r="K9" i="6"/>
  <c r="M14" i="6"/>
  <c r="Q43" i="6"/>
  <c r="M33" i="6"/>
  <c r="O8" i="6"/>
  <c r="E11" i="6"/>
  <c r="S44" i="6"/>
  <c r="S7" i="6"/>
  <c r="I41" i="6"/>
  <c r="I39" i="6"/>
  <c r="E30" i="6"/>
  <c r="O31" i="6"/>
  <c r="K14" i="6"/>
  <c r="G28" i="6"/>
  <c r="R38" i="6"/>
  <c r="H9" i="6"/>
  <c r="B24" i="6"/>
  <c r="D36" i="6"/>
  <c r="T24" i="6"/>
  <c r="E19" i="6"/>
  <c r="O35" i="6"/>
  <c r="J11" i="6"/>
  <c r="C15" i="6"/>
  <c r="W12" i="6"/>
  <c r="R19" i="6"/>
  <c r="I44" i="6"/>
  <c r="U26" i="6"/>
  <c r="N41" i="6"/>
  <c r="O26" i="6"/>
  <c r="U29" i="6"/>
  <c r="M20" i="6"/>
  <c r="E6" i="6"/>
  <c r="T14" i="6"/>
  <c r="N42" i="6"/>
  <c r="G25" i="6"/>
  <c r="R42" i="6"/>
  <c r="W6" i="6"/>
  <c r="G31" i="6"/>
  <c r="I15" i="6"/>
  <c r="D26" i="6"/>
  <c r="H10" i="6"/>
  <c r="U31" i="6"/>
  <c r="O44" i="6"/>
  <c r="G24" i="6"/>
  <c r="B34" i="6"/>
  <c r="R10" i="6"/>
  <c r="I14" i="6"/>
  <c r="O19" i="6"/>
  <c r="D41" i="6"/>
  <c r="N28" i="6"/>
  <c r="Q8" i="6"/>
  <c r="M7" i="6"/>
  <c r="P21" i="6"/>
  <c r="Q42" i="6"/>
  <c r="J35" i="6"/>
  <c r="L21" i="6"/>
  <c r="S24" i="6"/>
  <c r="N26" i="6"/>
  <c r="N16" i="6"/>
  <c r="J32" i="6"/>
  <c r="D30" i="6"/>
  <c r="U8" i="6"/>
  <c r="S23" i="6"/>
  <c r="F36" i="6"/>
  <c r="G39" i="6"/>
  <c r="K21" i="6"/>
  <c r="L38" i="6"/>
  <c r="F13" i="6"/>
  <c r="N6" i="6"/>
  <c r="U38" i="6"/>
  <c r="L29" i="6"/>
  <c r="K38" i="6"/>
  <c r="U23" i="6"/>
  <c r="H13" i="6"/>
  <c r="L26" i="6"/>
  <c r="I13" i="6"/>
  <c r="D28" i="6"/>
  <c r="U21" i="6"/>
  <c r="C35" i="6"/>
  <c r="S8" i="6"/>
  <c r="G8" i="6"/>
  <c r="D13" i="6"/>
  <c r="F29" i="6"/>
  <c r="R12" i="6"/>
  <c r="D18" i="6"/>
  <c r="B40" i="6"/>
  <c r="D31" i="6"/>
  <c r="T21" i="6"/>
  <c r="W32" i="6"/>
  <c r="U9" i="6"/>
  <c r="F33" i="6"/>
  <c r="H23" i="6"/>
  <c r="L44" i="6"/>
  <c r="L8" i="6"/>
  <c r="P42" i="6"/>
  <c r="M40" i="6"/>
  <c r="S29" i="6"/>
  <c r="H41" i="6"/>
  <c r="T10" i="6"/>
  <c r="U20" i="6"/>
  <c r="R6" i="6"/>
  <c r="G27" i="6"/>
  <c r="U42" i="6"/>
  <c r="B41" i="6"/>
  <c r="O29" i="6"/>
  <c r="E39" i="6"/>
  <c r="D42" i="6"/>
  <c r="I19" i="6"/>
  <c r="R44" i="6"/>
  <c r="P29" i="6"/>
  <c r="Q36" i="6"/>
  <c r="Q6" i="6"/>
  <c r="M26" i="6"/>
  <c r="M19" i="6"/>
  <c r="S42" i="6"/>
  <c r="P33" i="6"/>
  <c r="V39" i="6"/>
  <c r="S10" i="6"/>
  <c r="O36" i="6"/>
  <c r="G20" i="6"/>
  <c r="O24" i="6"/>
  <c r="F15" i="6"/>
  <c r="F42" i="6"/>
  <c r="M24" i="6"/>
  <c r="R35" i="6"/>
  <c r="H32" i="6"/>
  <c r="I12" i="6"/>
  <c r="O33" i="6"/>
  <c r="O30" i="6"/>
  <c r="E20" i="6"/>
  <c r="C41" i="6"/>
  <c r="Q14" i="6"/>
  <c r="N7" i="6"/>
  <c r="J26" i="6"/>
  <c r="I9" i="6"/>
  <c r="E15" i="6"/>
  <c r="F40" i="6"/>
  <c r="U25" i="6"/>
  <c r="L20" i="6"/>
  <c r="I16" i="6"/>
  <c r="U11" i="6"/>
  <c r="V37" i="6"/>
  <c r="O14" i="6"/>
  <c r="G22" i="6"/>
  <c r="L11" i="6"/>
  <c r="V43" i="6"/>
  <c r="E10" i="6"/>
  <c r="L25" i="6"/>
  <c r="R33" i="6"/>
  <c r="U19" i="6"/>
  <c r="Q39" i="6"/>
  <c r="M10" i="6"/>
  <c r="Q27" i="6"/>
  <c r="R26" i="6"/>
  <c r="T38" i="6"/>
  <c r="B17" i="6"/>
  <c r="I43" i="6"/>
  <c r="V28" i="6"/>
  <c r="E27" i="6"/>
  <c r="C44" i="6"/>
  <c r="C10" i="6"/>
  <c r="F41" i="6"/>
  <c r="U30" i="6"/>
  <c r="O32" i="6"/>
  <c r="B30" i="6"/>
  <c r="S28" i="6"/>
  <c r="E16" i="6"/>
  <c r="R31" i="6"/>
  <c r="S21" i="6"/>
  <c r="Q40" i="6"/>
  <c r="R28" i="6"/>
  <c r="F34" i="6"/>
  <c r="G23" i="6"/>
  <c r="S37" i="6"/>
  <c r="M34" i="6"/>
  <c r="C14" i="6"/>
  <c r="F14" i="6"/>
  <c r="O15" i="6"/>
  <c r="I7" i="6"/>
  <c r="D21" i="6"/>
  <c r="O40" i="6"/>
  <c r="J22" i="6"/>
  <c r="T22" i="6"/>
  <c r="E13" i="6"/>
  <c r="J38" i="6"/>
  <c r="K26" i="6"/>
  <c r="G13" i="6"/>
  <c r="R16" i="6"/>
  <c r="B27" i="6"/>
  <c r="L36" i="6"/>
  <c r="F23" i="6"/>
  <c r="W30" i="6"/>
  <c r="I29" i="6"/>
  <c r="J44" i="6"/>
  <c r="H14" i="6"/>
  <c r="S13" i="6"/>
  <c r="H19" i="6"/>
  <c r="R41" i="6"/>
  <c r="B43" i="6"/>
  <c r="W15" i="6"/>
  <c r="Q13" i="6"/>
  <c r="W31" i="6"/>
  <c r="J30" i="6"/>
  <c r="L39" i="6"/>
  <c r="J36" i="6"/>
  <c r="G43" i="6"/>
  <c r="G32" i="6"/>
  <c r="P37" i="6"/>
  <c r="I23" i="6"/>
  <c r="I24" i="6"/>
  <c r="H26" i="6"/>
  <c r="H38" i="6"/>
  <c r="I31" i="6"/>
  <c r="E43" i="6"/>
  <c r="G44" i="6"/>
  <c r="P15" i="6"/>
  <c r="P17" i="6"/>
  <c r="E9" i="6"/>
  <c r="H15" i="6"/>
  <c r="G17" i="6"/>
  <c r="F37" i="6"/>
  <c r="W34" i="6"/>
  <c r="D29" i="6"/>
  <c r="O28" i="6"/>
  <c r="I34" i="6"/>
  <c r="T43" i="6"/>
  <c r="K30" i="6"/>
  <c r="F38" i="6"/>
  <c r="P22" i="6"/>
  <c r="D10" i="6"/>
  <c r="R29" i="6"/>
  <c r="E36" i="6"/>
  <c r="U40" i="6"/>
  <c r="N37" i="6"/>
  <c r="S19" i="6"/>
  <c r="K37" i="6"/>
  <c r="P41" i="6"/>
  <c r="Q28" i="6"/>
  <c r="G41" i="6"/>
  <c r="U37" i="6"/>
  <c r="K15" i="6"/>
  <c r="W36" i="6"/>
  <c r="J34" i="6"/>
  <c r="M9" i="6"/>
  <c r="V33" i="6"/>
  <c r="F18" i="6"/>
  <c r="Q22" i="6"/>
  <c r="M12" i="6"/>
  <c r="M32" i="6"/>
  <c r="U33" i="6"/>
  <c r="U6" i="6"/>
  <c r="V29" i="6"/>
  <c r="D7" i="6"/>
  <c r="L27" i="6"/>
  <c r="B44" i="6"/>
  <c r="M18" i="6"/>
  <c r="R27" i="6"/>
  <c r="T29" i="6"/>
  <c r="F6" i="6"/>
  <c r="K32" i="6"/>
  <c r="E12" i="6"/>
  <c r="V27" i="6"/>
  <c r="G36" i="6"/>
  <c r="M11" i="6"/>
  <c r="W35" i="6"/>
  <c r="H7" i="6"/>
  <c r="B33" i="6"/>
  <c r="G38" i="6"/>
  <c r="C25" i="6"/>
  <c r="P6" i="6"/>
  <c r="T19" i="6"/>
  <c r="L18" i="6"/>
  <c r="R14" i="6"/>
  <c r="D16" i="6"/>
  <c r="H18" i="6"/>
  <c r="O21" i="6"/>
  <c r="E26" i="6"/>
  <c r="L22" i="6"/>
  <c r="I26" i="6"/>
  <c r="M16" i="6"/>
  <c r="F12" i="6"/>
  <c r="P13" i="6"/>
  <c r="K11" i="6"/>
  <c r="V24" i="6"/>
  <c r="L7" i="6"/>
  <c r="N30" i="6"/>
  <c r="D20" i="6"/>
  <c r="W18" i="6"/>
  <c r="T25" i="6"/>
  <c r="F11" i="6"/>
  <c r="Q34" i="6"/>
  <c r="L31" i="6"/>
  <c r="M17" i="6"/>
  <c r="T20" i="6"/>
  <c r="F22" i="6"/>
  <c r="O43" i="6"/>
  <c r="H43" i="6"/>
  <c r="T34" i="6"/>
  <c r="T42" i="6"/>
  <c r="V12" i="6"/>
  <c r="J6" i="6"/>
  <c r="H30" i="6"/>
  <c r="M21" i="6"/>
  <c r="N38" i="6"/>
  <c r="Q11" i="6"/>
  <c r="O18" i="6"/>
  <c r="C9" i="6"/>
  <c r="Q35" i="6"/>
  <c r="D15" i="6"/>
  <c r="N18" i="6"/>
  <c r="M44" i="6"/>
  <c r="C27" i="6"/>
  <c r="E14" i="6"/>
  <c r="N19" i="6"/>
  <c r="Q16" i="6"/>
  <c r="I40" i="6"/>
  <c r="O34" i="6"/>
  <c r="B31" i="6"/>
  <c r="L42" i="6"/>
  <c r="L17" i="6"/>
  <c r="D8" i="6"/>
  <c r="Q9" i="6"/>
  <c r="J7" i="6"/>
  <c r="R11" i="6"/>
  <c r="J21" i="6"/>
  <c r="E7" i="6"/>
  <c r="F10" i="6"/>
  <c r="F25" i="6"/>
  <c r="N33" i="6"/>
  <c r="R25" i="6"/>
  <c r="W39" i="6"/>
  <c r="P43" i="6"/>
  <c r="L34" i="6"/>
  <c r="G14" i="6"/>
  <c r="M27" i="6"/>
  <c r="J18" i="6"/>
  <c r="B36" i="6"/>
  <c r="T41" i="6"/>
  <c r="T9" i="6"/>
  <c r="H34" i="6"/>
  <c r="H27" i="6"/>
  <c r="T6" i="6"/>
  <c r="W10" i="6"/>
  <c r="N36" i="6"/>
  <c r="V13" i="6"/>
  <c r="S16" i="6"/>
  <c r="I10" i="6"/>
  <c r="U13" i="6"/>
  <c r="Q15" i="6"/>
  <c r="I36" i="6"/>
  <c r="M6" i="6"/>
  <c r="Q25" i="6"/>
  <c r="S26" i="6"/>
  <c r="P28" i="6"/>
  <c r="W11" i="6"/>
  <c r="I27" i="6"/>
  <c r="C19" i="6"/>
  <c r="S35" i="6"/>
  <c r="G6" i="6"/>
  <c r="C31" i="6"/>
  <c r="U17" i="6"/>
  <c r="G19" i="6"/>
  <c r="U39" i="6"/>
  <c r="F30" i="6"/>
  <c r="F43" i="6"/>
  <c r="L16" i="6"/>
  <c r="N10" i="6"/>
  <c r="U16" i="6"/>
  <c r="C20" i="6"/>
  <c r="B25" i="6"/>
  <c r="J42" i="6"/>
  <c r="Q29" i="6"/>
  <c r="C6" i="6"/>
  <c r="R24" i="6"/>
  <c r="N27" i="6"/>
  <c r="B14" i="6"/>
  <c r="B8" i="6"/>
  <c r="K23" i="6"/>
  <c r="V34" i="6"/>
  <c r="N14" i="6"/>
  <c r="H16" i="6"/>
  <c r="Q7" i="6"/>
  <c r="F24" i="6"/>
  <c r="T23" i="6"/>
  <c r="L14" i="6"/>
  <c r="G29" i="6"/>
  <c r="W26" i="6"/>
  <c r="N15" i="6"/>
  <c r="F8" i="6"/>
  <c r="C13" i="6"/>
  <c r="J16" i="6"/>
  <c r="V22" i="6"/>
  <c r="U34" i="6"/>
  <c r="S38" i="6"/>
  <c r="N12" i="6"/>
  <c r="E28" i="6"/>
  <c r="P18" i="6"/>
  <c r="V7" i="6"/>
  <c r="J39" i="6"/>
  <c r="C32" i="6"/>
  <c r="P39" i="6"/>
  <c r="T27" i="6"/>
  <c r="U14" i="6"/>
  <c r="D19" i="6"/>
  <c r="U28" i="6"/>
  <c r="V25" i="6"/>
  <c r="S9" i="6"/>
  <c r="S14" i="6"/>
  <c r="B29" i="6"/>
  <c r="I8" i="6"/>
  <c r="W28" i="6"/>
  <c r="Q24" i="6"/>
  <c r="V26" i="6"/>
  <c r="S39" i="6"/>
  <c r="B20" i="6"/>
  <c r="L30" i="6"/>
  <c r="K18" i="6"/>
  <c r="W9" i="6"/>
  <c r="U43" i="6"/>
  <c r="N23" i="6"/>
  <c r="K10" i="6"/>
  <c r="H6" i="6"/>
  <c r="H28" i="6"/>
  <c r="N40" i="6"/>
  <c r="L6" i="6"/>
  <c r="T8" i="6"/>
  <c r="Q23" i="6"/>
  <c r="O17" i="6"/>
  <c r="J29" i="6"/>
  <c r="W19" i="6"/>
  <c r="W16" i="6"/>
  <c r="G11" i="6"/>
  <c r="F20" i="6"/>
  <c r="W42" i="6"/>
  <c r="J9" i="6"/>
  <c r="N24" i="6"/>
  <c r="U15" i="6"/>
  <c r="F31" i="6"/>
  <c r="S33" i="6"/>
  <c r="C7" i="6"/>
  <c r="O27" i="6"/>
  <c r="V21" i="6"/>
  <c r="S20" i="6"/>
  <c r="B9" i="6"/>
  <c r="K12" i="6"/>
  <c r="T33" i="6"/>
  <c r="J37" i="6"/>
  <c r="R21" i="6"/>
  <c r="D6" i="6"/>
  <c r="C28" i="6"/>
  <c r="M28" i="6"/>
  <c r="V18" i="6"/>
  <c r="O6" i="6"/>
  <c r="B7" i="6"/>
  <c r="V35" i="6"/>
  <c r="F32" i="6"/>
  <c r="T11" i="6"/>
  <c r="O11" i="6"/>
  <c r="M31" i="6"/>
  <c r="P8" i="6"/>
  <c r="R17" i="6"/>
  <c r="I33" i="6"/>
  <c r="M42" i="6"/>
  <c r="P9" i="6"/>
  <c r="T35" i="6"/>
  <c r="N25" i="6"/>
  <c r="J28" i="6"/>
  <c r="U32" i="6"/>
  <c r="W7" i="6"/>
  <c r="K8" i="6"/>
  <c r="O10" i="6"/>
  <c r="K20" i="6"/>
  <c r="H22" i="6"/>
  <c r="F27" i="6"/>
  <c r="W33" i="6"/>
  <c r="S18" i="6"/>
  <c r="P20" i="6"/>
  <c r="G7" i="6"/>
  <c r="U10" i="6"/>
  <c r="C23" i="6"/>
  <c r="J33" i="6"/>
  <c r="U22" i="6"/>
  <c r="E25" i="6"/>
  <c r="O41" i="6"/>
  <c r="M43" i="6"/>
  <c r="T17" i="6"/>
  <c r="N32" i="6"/>
  <c r="M30" i="6"/>
  <c r="E34" i="6"/>
  <c r="L43" i="6"/>
  <c r="D37" i="6"/>
  <c r="J31" i="6"/>
  <c r="H39" i="6"/>
  <c r="V15" i="6"/>
  <c r="N31" i="6"/>
  <c r="W41" i="6"/>
  <c r="M39" i="6"/>
  <c r="T30" i="6"/>
  <c r="F19" i="6"/>
  <c r="K6" i="6"/>
  <c r="Q12" i="6"/>
  <c r="U27" i="6"/>
  <c r="J13" i="6"/>
  <c r="H33" i="6"/>
  <c r="M36" i="6"/>
  <c r="C24" i="6"/>
  <c r="H20" i="6"/>
  <c r="J14" i="6"/>
  <c r="P38" i="6"/>
  <c r="W21" i="6"/>
  <c r="J25" i="6"/>
  <c r="H24" i="6"/>
  <c r="W38" i="6"/>
  <c r="T16" i="6"/>
  <c r="I22" i="6"/>
  <c r="P16" i="6"/>
  <c r="D24" i="6"/>
  <c r="R40" i="6"/>
  <c r="V42" i="6"/>
  <c r="T37" i="6"/>
  <c r="K39" i="6"/>
  <c r="W29" i="6"/>
  <c r="V10" i="6"/>
  <c r="C38" i="6"/>
  <c r="Q17" i="6"/>
  <c r="R23" i="6"/>
  <c r="K22" i="6"/>
  <c r="M25" i="6"/>
  <c r="P31" i="6"/>
  <c r="T26" i="6"/>
  <c r="U35" i="6"/>
  <c r="P35" i="6"/>
  <c r="S22" i="6"/>
  <c r="N8" i="6"/>
  <c r="K7" i="6"/>
  <c r="L10" i="6"/>
  <c r="P36" i="6"/>
  <c r="D22" i="6"/>
  <c r="B35" i="6"/>
  <c r="F26" i="6"/>
  <c r="P25" i="6"/>
  <c r="V23" i="6"/>
  <c r="V11" i="6"/>
  <c r="T7" i="6"/>
  <c r="L32" i="6"/>
  <c r="H36" i="6"/>
  <c r="Q33" i="6"/>
  <c r="O13" i="6"/>
  <c r="J19" i="6"/>
  <c r="S30" i="6"/>
  <c r="P40" i="6"/>
  <c r="Q38" i="6"/>
  <c r="L13" i="6"/>
  <c r="F16" i="6"/>
  <c r="L33" i="6"/>
  <c r="T40" i="6"/>
  <c r="J41" i="6"/>
  <c r="W22" i="6"/>
  <c r="B16" i="6"/>
  <c r="E40" i="6"/>
  <c r="F35" i="6"/>
  <c r="I17" i="6"/>
  <c r="K31" i="6"/>
  <c r="O20" i="6"/>
  <c r="B23" i="6"/>
  <c r="T15" i="6"/>
  <c r="P26" i="6"/>
  <c r="K41" i="6"/>
  <c r="U36" i="6"/>
  <c r="S40" i="6"/>
  <c r="M22" i="6"/>
  <c r="P12" i="6"/>
  <c r="V8" i="6"/>
  <c r="U41" i="6"/>
  <c r="Q41" i="6"/>
  <c r="S11" i="6"/>
  <c r="G12" i="6"/>
  <c r="J10" i="6"/>
  <c r="L9" i="6"/>
  <c r="P7" i="6"/>
  <c r="P24" i="6"/>
  <c r="Q30" i="6"/>
  <c r="N35" i="6"/>
  <c r="C37" i="6"/>
  <c r="M13" i="6"/>
  <c r="Q26" i="6"/>
  <c r="E37" i="6"/>
  <c r="G26" i="6"/>
  <c r="S31" i="6"/>
  <c r="I28" i="6"/>
  <c r="M38" i="6"/>
  <c r="N17" i="6"/>
  <c r="R39" i="6"/>
  <c r="W23" i="6"/>
  <c r="I32" i="6"/>
  <c r="B11" i="6"/>
  <c r="R22" i="6"/>
  <c r="T36" i="6"/>
  <c r="W20" i="6"/>
  <c r="E22" i="6"/>
  <c r="H25" i="6"/>
  <c r="I35" i="6"/>
  <c r="L37" i="6"/>
  <c r="J8" i="6"/>
  <c r="F17" i="6"/>
  <c r="I38" i="6"/>
  <c r="C18" i="6"/>
  <c r="D12" i="6"/>
  <c r="Q10" i="6"/>
  <c r="B19" i="6"/>
  <c r="M35" i="6"/>
  <c r="L40" i="6"/>
  <c r="S12" i="6"/>
  <c r="T12" i="6"/>
  <c r="E24" i="6"/>
  <c r="F7" i="6"/>
  <c r="R34" i="6"/>
  <c r="I21" i="6"/>
  <c r="D27" i="6"/>
  <c r="W13" i="6"/>
  <c r="K25" i="6"/>
  <c r="L38" i="7" l="1"/>
  <c r="A46" i="2"/>
  <c r="A45" i="5"/>
  <c r="A45" i="4"/>
  <c r="A45" i="6"/>
  <c r="A45" i="3"/>
  <c r="C60" i="6"/>
  <c r="G60" i="6"/>
  <c r="G22" i="7" s="1"/>
  <c r="E60" i="6"/>
  <c r="H60" i="6"/>
  <c r="H22" i="7" s="1"/>
  <c r="V60" i="6"/>
  <c r="K38" i="7" s="1"/>
  <c r="N60" i="6"/>
  <c r="P60" i="6"/>
  <c r="K60" i="6"/>
  <c r="J22" i="7" s="1"/>
  <c r="L60" i="6"/>
  <c r="J60" i="6"/>
  <c r="U60" i="6"/>
  <c r="J38" i="7" s="1"/>
  <c r="F60" i="6"/>
  <c r="D60" i="6"/>
  <c r="D22" i="7" s="1"/>
  <c r="T60" i="6"/>
  <c r="I38" i="7" s="1"/>
  <c r="B60" i="6"/>
  <c r="B22" i="7" s="1"/>
  <c r="I60" i="6"/>
  <c r="R60" i="6"/>
  <c r="S60" i="6"/>
  <c r="Q60" i="6"/>
  <c r="F38" i="7" s="1"/>
  <c r="O60" i="6"/>
  <c r="M60" i="6"/>
  <c r="A47" i="2" l="1"/>
  <c r="A46" i="5"/>
  <c r="A46" i="4"/>
  <c r="A46" i="6"/>
  <c r="A46" i="3"/>
  <c r="A48" i="2" l="1"/>
  <c r="A47" i="5"/>
  <c r="A47" i="4"/>
  <c r="A47" i="6"/>
  <c r="A47" i="3"/>
  <c r="A49" i="2" l="1"/>
  <c r="A48" i="3"/>
  <c r="A48" i="5"/>
  <c r="A48" i="4"/>
  <c r="A48" i="6"/>
  <c r="A50" i="2" l="1"/>
  <c r="A49" i="6"/>
  <c r="A49" i="3"/>
  <c r="A49" i="4"/>
  <c r="A49" i="5"/>
  <c r="A51" i="2" l="1"/>
  <c r="A50" i="6"/>
  <c r="A50" i="3"/>
  <c r="A50" i="5"/>
  <c r="A50" i="4"/>
  <c r="A52" i="2" l="1"/>
  <c r="A51" i="5"/>
  <c r="A51" i="4"/>
  <c r="A51" i="6"/>
  <c r="A51" i="3"/>
  <c r="A53" i="2" l="1"/>
  <c r="A52" i="3"/>
  <c r="A52" i="5"/>
  <c r="A52" i="4"/>
  <c r="A52" i="6"/>
  <c r="A54" i="2" l="1"/>
  <c r="A53" i="6"/>
  <c r="A53" i="5"/>
  <c r="A53" i="4"/>
  <c r="A53" i="3"/>
  <c r="A55" i="2" l="1"/>
  <c r="A54" i="5"/>
  <c r="A54" i="4"/>
  <c r="A54" i="3"/>
  <c r="A54" i="6"/>
  <c r="A56" i="2" l="1"/>
  <c r="A55" i="5"/>
  <c r="A55" i="4"/>
  <c r="A55" i="3"/>
  <c r="A55" i="6"/>
  <c r="A57" i="2" l="1"/>
  <c r="A56" i="5"/>
  <c r="A56" i="4"/>
  <c r="A56" i="3"/>
  <c r="A56" i="6"/>
  <c r="A57" i="4" l="1"/>
  <c r="A57" i="6"/>
  <c r="A57" i="5"/>
  <c r="A57" i="3"/>
</calcChain>
</file>

<file path=xl/sharedStrings.xml><?xml version="1.0" encoding="utf-8"?>
<sst xmlns="http://schemas.openxmlformats.org/spreadsheetml/2006/main" count="224" uniqueCount="57">
  <si>
    <t>WEST VIRGINIA LOTTERY</t>
  </si>
  <si>
    <t>WEEKLY RACETRACK VIDEO LOTTERY SUMMARY</t>
  </si>
  <si>
    <t>REVENUE</t>
  </si>
  <si>
    <t>HOLLYWOOD CASINO AT CHARLES TOWN</t>
  </si>
  <si>
    <t>MARDI GRAS CASINO</t>
  </si>
  <si>
    <t>WHEELING ISLAND CASINO</t>
  </si>
  <si>
    <t>MOUNTAINEER CASINO</t>
  </si>
  <si>
    <t>2nd Benchmark Before</t>
  </si>
  <si>
    <t>2nd Benchmark After</t>
  </si>
  <si>
    <t>3rd Benchmark After (10% Surcharge)</t>
  </si>
  <si>
    <t>TRACK</t>
  </si>
  <si>
    <t>REVENUE DISTRIBUTIONS</t>
  </si>
  <si>
    <t>RACETRACK</t>
  </si>
  <si>
    <t>COUNTIES</t>
  </si>
  <si>
    <t>WEEK ENDING</t>
  </si>
  <si>
    <t>SURCHARGE</t>
  </si>
  <si>
    <t>**  Represents an average of the number of machines in use for the week, averaged for the fiscal year.</t>
  </si>
  <si>
    <t>CITIES</t>
  </si>
  <si>
    <t>AMOUNT
PLAYED</t>
  </si>
  <si>
    <t>AMOUNT
WON</t>
  </si>
  <si>
    <t>ADMIN
COSTS</t>
  </si>
  <si>
    <t>AMOUNT
PROMO</t>
  </si>
  <si>
    <t>ADJ GROSS
TERMINAL
REVENUE</t>
  </si>
  <si>
    <t>EXCESS
LOTTERY
FUND</t>
  </si>
  <si>
    <t>NET TERMINAL
REVENUE</t>
  </si>
  <si>
    <t>STATE SHARE
EXCESS</t>
  </si>
  <si>
    <t>TRACK
CAPITAL
REINVEST</t>
  </si>
  <si>
    <t>ADJ NET
TERMINAL
REVENUE</t>
  </si>
  <si>
    <t>LOTTERY
FUND</t>
  </si>
  <si>
    <t>PURSE
FUND</t>
  </si>
  <si>
    <t>PENSION
FUND</t>
  </si>
  <si>
    <t>GRHND
DEVEL</t>
  </si>
  <si>
    <t>THRBD
DEVEL</t>
  </si>
  <si>
    <t>AVG ADJ
GTR PER
TERMINAL</t>
  </si>
  <si>
    <t>NUMBER
OF
TERMINALS</t>
  </si>
  <si>
    <t>AVG NUMBER
OF
TERMINALS</t>
  </si>
  <si>
    <t>NUMBER
OF
TERMINALS **</t>
  </si>
  <si>
    <t>CITY OF WHEELING</t>
  </si>
  <si>
    <t>OHIO
COUNTY</t>
  </si>
  <si>
    <t>KANAWHA
COUNTY</t>
  </si>
  <si>
    <t>CITY OF NITRO</t>
  </si>
  <si>
    <t>5 CITIES</t>
  </si>
  <si>
    <t>JEFFERSON COUNTY</t>
  </si>
  <si>
    <t>HANCOCK COUNTY</t>
  </si>
  <si>
    <t>CITIES*</t>
  </si>
  <si>
    <t xml:space="preserve"> </t>
  </si>
  <si>
    <t>FISCAL YEAR 2021</t>
  </si>
  <si>
    <t>* 4 days to start the fiscal year</t>
  </si>
  <si>
    <t>7/4/2020 *</t>
  </si>
  <si>
    <t>FY 2020</t>
  </si>
  <si>
    <t>7/11/2020</t>
  </si>
  <si>
    <t>*** 4 days to end the fiscal year</t>
  </si>
  <si>
    <t>6/30/2021  ***</t>
  </si>
  <si>
    <t>*The following transfers have been made for this amount:  Bolivar - $1,866;  Charles Town - $9,387;  Harpers Ferry - $511;  Ranson - $7,923;  Shepherdstown - $3,839.</t>
  </si>
  <si>
    <t>4 DAYS ENDING JUNE 30, 2021</t>
  </si>
  <si>
    <t>FISCAL YEAR ENDING JUNE 30, 2021</t>
  </si>
  <si>
    <t>*The following transfers have been made for this amount:  Bolivar - $119,490;  Charles Town - $601,216;  Harpers Ferry - $32,697;  Ranson - $507,492;  Shepherdstown - $245,911.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</si>
</sst>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76">
    <xf numFmtId="0" fontId="0" fillId="0" borderId="0" xfId="0"/>
    <xf numFmtId="0" fontId="4" fillId="0" borderId="0" xfId="0" applyFont="1"/>
    <xf numFmtId="0" fontId="0" fillId="0" borderId="0" xfId="0" applyFont="1"/>
    <xf numFmtId="0" fontId="0" fillId="0" borderId="9" xfId="0" applyFont="1" applyBorder="1" applyAlignment="1">
      <alignment horizontal="center" wrapText="1"/>
    </xf>
    <xf numFmtId="0" fontId="0" fillId="0" borderId="0" xfId="0" applyFont="1" applyBorder="1" applyAlignment="1">
      <alignment horizontal="center" wrapText="1"/>
    </xf>
    <xf numFmtId="44" fontId="0" fillId="0" borderId="0" xfId="1" applyFont="1" applyBorder="1" applyAlignment="1">
      <alignment horizontal="center" wrapText="1"/>
    </xf>
    <xf numFmtId="44" fontId="0" fillId="0" borderId="0" xfId="1" applyNumberFormat="1" applyFont="1" applyBorder="1" applyAlignment="1">
      <alignment horizontal="center" wrapText="1"/>
    </xf>
    <xf numFmtId="37" fontId="0" fillId="0" borderId="0" xfId="1" applyNumberFormat="1" applyFont="1" applyBorder="1" applyAlignment="1">
      <alignment horizontal="center" wrapText="1"/>
    </xf>
    <xf numFmtId="14" fontId="0" fillId="0" borderId="0" xfId="1" applyNumberFormat="1" applyFont="1" applyAlignment="1">
      <alignment horizontal="left"/>
    </xf>
    <xf numFmtId="44" fontId="0" fillId="0" borderId="0" xfId="1" applyFont="1"/>
    <xf numFmtId="38" fontId="0" fillId="0" borderId="0" xfId="1" applyNumberFormat="1" applyFont="1" applyAlignment="1">
      <alignment horizontal="center"/>
    </xf>
    <xf numFmtId="43" fontId="0" fillId="0" borderId="0" xfId="1" applyNumberFormat="1" applyFont="1"/>
    <xf numFmtId="43" fontId="0" fillId="0" borderId="0" xfId="1" applyNumberFormat="1" applyFont="1" applyAlignment="1">
      <alignment horizontal="center"/>
    </xf>
    <xf numFmtId="44" fontId="0" fillId="0" borderId="0" xfId="0" applyNumberFormat="1" applyFont="1"/>
    <xf numFmtId="44" fontId="0" fillId="0" borderId="11" xfId="0" applyNumberFormat="1" applyFont="1" applyBorder="1"/>
    <xf numFmtId="44" fontId="0" fillId="0" borderId="11" xfId="0" applyNumberFormat="1" applyFont="1" applyBorder="1" applyAlignment="1">
      <alignment horizontal="center"/>
    </xf>
    <xf numFmtId="38" fontId="0" fillId="0" borderId="11" xfId="0" applyNumberFormat="1" applyFont="1" applyBorder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 wrapText="1"/>
    </xf>
    <xf numFmtId="0" fontId="6" fillId="0" borderId="12" xfId="0" applyFont="1" applyBorder="1" applyAlignment="1">
      <alignment horizontal="center" wrapText="1"/>
    </xf>
    <xf numFmtId="0" fontId="6" fillId="0" borderId="1" xfId="0" applyFont="1" applyBorder="1"/>
    <xf numFmtId="9" fontId="6" fillId="0" borderId="0" xfId="2" applyFont="1" applyBorder="1"/>
    <xf numFmtId="0" fontId="6" fillId="0" borderId="0" xfId="0" applyFont="1" applyBorder="1"/>
    <xf numFmtId="42" fontId="6" fillId="0" borderId="0" xfId="1" applyNumberFormat="1" applyFont="1" applyBorder="1"/>
    <xf numFmtId="42" fontId="6" fillId="0" borderId="2" xfId="1" applyNumberFormat="1" applyFont="1" applyBorder="1"/>
    <xf numFmtId="42" fontId="6" fillId="0" borderId="9" xfId="1" applyNumberFormat="1" applyFont="1" applyBorder="1"/>
    <xf numFmtId="0" fontId="6" fillId="0" borderId="5" xfId="0" applyFont="1" applyBorder="1"/>
    <xf numFmtId="44" fontId="6" fillId="0" borderId="6" xfId="1" applyFont="1" applyBorder="1"/>
    <xf numFmtId="44" fontId="6" fillId="0" borderId="0" xfId="1" applyFont="1" applyBorder="1"/>
    <xf numFmtId="38" fontId="6" fillId="0" borderId="2" xfId="0" applyNumberFormat="1" applyFont="1" applyBorder="1"/>
    <xf numFmtId="38" fontId="6" fillId="0" borderId="2" xfId="1" applyNumberFormat="1" applyFont="1" applyBorder="1"/>
    <xf numFmtId="0" fontId="6" fillId="0" borderId="9" xfId="0" applyFont="1" applyFill="1" applyBorder="1" applyAlignment="1">
      <alignment horizontal="center" wrapText="1"/>
    </xf>
    <xf numFmtId="9" fontId="6" fillId="0" borderId="0" xfId="2" applyFont="1" applyFill="1" applyBorder="1"/>
    <xf numFmtId="0" fontId="6" fillId="0" borderId="0" xfId="0" applyFont="1" applyFill="1" applyBorder="1"/>
    <xf numFmtId="42" fontId="6" fillId="0" borderId="0" xfId="1" applyNumberFormat="1" applyFont="1" applyFill="1" applyBorder="1"/>
    <xf numFmtId="0" fontId="6" fillId="0" borderId="12" xfId="0" applyFont="1" applyFill="1" applyBorder="1" applyAlignment="1">
      <alignment horizontal="center" wrapText="1"/>
    </xf>
    <xf numFmtId="9" fontId="6" fillId="0" borderId="2" xfId="2" applyFont="1" applyFill="1" applyBorder="1"/>
    <xf numFmtId="0" fontId="6" fillId="0" borderId="2" xfId="0" applyFont="1" applyFill="1" applyBorder="1"/>
    <xf numFmtId="42" fontId="6" fillId="0" borderId="2" xfId="1" applyNumberFormat="1" applyFont="1" applyFill="1" applyBorder="1"/>
    <xf numFmtId="0" fontId="0" fillId="0" borderId="0" xfId="0" applyFont="1" applyBorder="1" applyAlignment="1">
      <alignment horizontal="center" wrapText="1"/>
    </xf>
    <xf numFmtId="44" fontId="0" fillId="0" borderId="0" xfId="1" applyFont="1" applyAlignment="1">
      <alignment horizontal="center"/>
    </xf>
    <xf numFmtId="0" fontId="6" fillId="0" borderId="1" xfId="0" applyFont="1" applyBorder="1" applyAlignment="1"/>
    <xf numFmtId="0" fontId="0" fillId="0" borderId="0" xfId="0" applyFont="1" applyBorder="1" applyAlignment="1">
      <alignment horizontal="center" wrapText="1"/>
    </xf>
    <xf numFmtId="37" fontId="6" fillId="0" borderId="6" xfId="1" applyNumberFormat="1" applyFont="1" applyBorder="1"/>
    <xf numFmtId="44" fontId="6" fillId="0" borderId="4" xfId="1" applyFont="1" applyFill="1" applyBorder="1"/>
    <xf numFmtId="3" fontId="6" fillId="0" borderId="4" xfId="1" applyNumberFormat="1" applyFont="1" applyBorder="1"/>
    <xf numFmtId="42" fontId="6" fillId="0" borderId="4" xfId="1" applyNumberFormat="1" applyFont="1" applyFill="1" applyBorder="1"/>
    <xf numFmtId="42" fontId="6" fillId="0" borderId="9" xfId="1" applyNumberFormat="1" applyFont="1" applyFill="1" applyBorder="1"/>
    <xf numFmtId="42" fontId="6" fillId="0" borderId="10" xfId="1" applyNumberFormat="1" applyFont="1" applyFill="1" applyBorder="1"/>
    <xf numFmtId="0" fontId="6" fillId="0" borderId="0" xfId="0" applyFont="1" applyFill="1" applyAlignment="1">
      <alignment horizontal="center"/>
    </xf>
    <xf numFmtId="0" fontId="6" fillId="0" borderId="0" xfId="0" applyFont="1" applyFill="1"/>
    <xf numFmtId="164" fontId="6" fillId="0" borderId="0" xfId="2" applyNumberFormat="1" applyFont="1" applyFill="1" applyBorder="1"/>
    <xf numFmtId="44" fontId="6" fillId="0" borderId="6" xfId="1" applyFont="1" applyFill="1" applyBorder="1"/>
    <xf numFmtId="44" fontId="6" fillId="0" borderId="0" xfId="1" applyFont="1" applyFill="1" applyBorder="1"/>
    <xf numFmtId="38" fontId="6" fillId="0" borderId="0" xfId="0" applyNumberFormat="1" applyFont="1" applyFill="1" applyBorder="1"/>
    <xf numFmtId="37" fontId="6" fillId="0" borderId="6" xfId="1" applyNumberFormat="1" applyFont="1" applyFill="1" applyBorder="1"/>
    <xf numFmtId="38" fontId="6" fillId="0" borderId="6" xfId="1" applyNumberFormat="1" applyFont="1" applyFill="1" applyBorder="1"/>
    <xf numFmtId="0" fontId="6" fillId="0" borderId="0" xfId="0" applyFont="1" applyFill="1" applyBorder="1" applyAlignment="1"/>
    <xf numFmtId="37" fontId="6" fillId="0" borderId="7" xfId="1" applyNumberFormat="1" applyFont="1" applyFill="1" applyBorder="1"/>
    <xf numFmtId="38" fontId="6" fillId="0" borderId="2" xfId="0" applyNumberFormat="1" applyFont="1" applyFill="1" applyBorder="1"/>
    <xf numFmtId="38" fontId="6" fillId="0" borderId="2" xfId="1" applyNumberFormat="1" applyFont="1" applyFill="1" applyBorder="1"/>
    <xf numFmtId="38" fontId="6" fillId="0" borderId="10" xfId="1" applyNumberFormat="1" applyFont="1" applyFill="1" applyBorder="1"/>
    <xf numFmtId="42" fontId="6" fillId="0" borderId="3" xfId="1" applyNumberFormat="1" applyFont="1" applyFill="1" applyBorder="1"/>
    <xf numFmtId="38" fontId="6" fillId="0" borderId="4" xfId="1" applyNumberFormat="1" applyFont="1" applyFill="1" applyBorder="1"/>
    <xf numFmtId="38" fontId="6" fillId="0" borderId="7" xfId="1" applyNumberFormat="1" applyFont="1" applyFill="1" applyBorder="1"/>
    <xf numFmtId="38" fontId="6" fillId="0" borderId="10" xfId="1" applyNumberFormat="1" applyFont="1" applyBorder="1"/>
    <xf numFmtId="14" fontId="0" fillId="0" borderId="0" xfId="1" quotePrefix="1" applyNumberFormat="1" applyFont="1" applyAlignment="1">
      <alignment horizontal="left"/>
    </xf>
    <xf numFmtId="44" fontId="8" fillId="0" borderId="0" xfId="1" applyFont="1"/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Font="1" applyBorder="1" applyAlignment="1">
      <alignment horizontal="center" wrapText="1"/>
    </xf>
  </cellXfs>
  <cellStyles count="7">
    <cellStyle name="Comma 2" xfId="4"/>
    <cellStyle name="Currency" xfId="1" builtinId="4"/>
    <cellStyle name="Currency 2" xfId="5"/>
    <cellStyle name="Normal" xfId="0" builtinId="0"/>
    <cellStyle name="Normal 2" xfId="3"/>
    <cellStyle name="Percent" xfId="2" builtinId="5"/>
    <cellStyle name="Percent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1"/>
  <sheetViews>
    <sheetView tabSelected="1" zoomScaleNormal="100" workbookViewId="0">
      <selection sqref="A1:L1"/>
    </sheetView>
  </sheetViews>
  <sheetFormatPr defaultRowHeight="15" customHeight="1" x14ac:dyDescent="0.25"/>
  <cols>
    <col min="1" max="1" width="45.140625" style="17" bestFit="1" customWidth="1"/>
    <col min="2" max="2" width="18.140625" style="17" bestFit="1" customWidth="1"/>
    <col min="3" max="3" width="16.85546875" style="17" bestFit="1" customWidth="1"/>
    <col min="4" max="4" width="14" style="17" bestFit="1" customWidth="1"/>
    <col min="5" max="5" width="14" style="52" bestFit="1" customWidth="1"/>
    <col min="6" max="6" width="15.7109375" style="52" bestFit="1" customWidth="1"/>
    <col min="7" max="7" width="12.7109375" style="52" customWidth="1"/>
    <col min="8" max="8" width="14" style="52" bestFit="1" customWidth="1"/>
    <col min="9" max="9" width="15.7109375" style="52" bestFit="1" customWidth="1"/>
    <col min="10" max="10" width="12.7109375" style="52" customWidth="1"/>
    <col min="11" max="11" width="15.7109375" style="52" customWidth="1"/>
    <col min="12" max="12" width="12.7109375" style="17" customWidth="1"/>
    <col min="13" max="16384" width="9.140625" style="17"/>
  </cols>
  <sheetData>
    <row r="1" spans="1:12" ht="21" x14ac:dyDescent="0.35">
      <c r="A1" s="73" t="s">
        <v>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</row>
    <row r="2" spans="1:12" ht="18.75" x14ac:dyDescent="0.3">
      <c r="A2" s="74" t="s">
        <v>1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</row>
    <row r="3" spans="1:12" ht="18.75" x14ac:dyDescent="0.3">
      <c r="A3" s="74" t="s">
        <v>54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</row>
    <row r="4" spans="1:12" ht="18.75" x14ac:dyDescent="0.3">
      <c r="A4" s="74" t="s">
        <v>46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</row>
    <row r="5" spans="1:12" ht="15" customHeight="1" x14ac:dyDescent="0.25">
      <c r="A5" s="18"/>
      <c r="B5" s="18"/>
      <c r="C5" s="18"/>
      <c r="D5" s="18"/>
      <c r="E5" s="51"/>
      <c r="F5" s="51"/>
      <c r="G5" s="51"/>
      <c r="H5" s="51"/>
      <c r="I5" s="51"/>
      <c r="J5" s="51"/>
      <c r="K5" s="51"/>
      <c r="L5" s="18"/>
    </row>
    <row r="7" spans="1:12" ht="15" customHeight="1" thickBot="1" x14ac:dyDescent="0.3"/>
    <row r="8" spans="1:12" ht="15" customHeight="1" thickBot="1" x14ac:dyDescent="0.3">
      <c r="A8" s="70" t="s">
        <v>2</v>
      </c>
      <c r="B8" s="71"/>
      <c r="C8" s="71"/>
      <c r="D8" s="71"/>
      <c r="E8" s="71"/>
      <c r="F8" s="71"/>
      <c r="G8" s="71"/>
      <c r="H8" s="71"/>
      <c r="I8" s="71"/>
      <c r="J8" s="71"/>
      <c r="K8" s="72"/>
      <c r="L8" s="43"/>
    </row>
    <row r="9" spans="1:12" ht="47.25" x14ac:dyDescent="0.25">
      <c r="A9" s="19" t="s">
        <v>10</v>
      </c>
      <c r="B9" s="20" t="s">
        <v>18</v>
      </c>
      <c r="C9" s="20" t="s">
        <v>19</v>
      </c>
      <c r="D9" s="20" t="s">
        <v>21</v>
      </c>
      <c r="E9" s="33" t="s">
        <v>22</v>
      </c>
      <c r="F9" s="33" t="s">
        <v>20</v>
      </c>
      <c r="G9" s="33" t="s">
        <v>23</v>
      </c>
      <c r="H9" s="33" t="s">
        <v>24</v>
      </c>
      <c r="I9" s="33" t="s">
        <v>25</v>
      </c>
      <c r="J9" s="33" t="s">
        <v>26</v>
      </c>
      <c r="K9" s="37" t="s">
        <v>27</v>
      </c>
    </row>
    <row r="10" spans="1:12" ht="15" customHeight="1" x14ac:dyDescent="0.25">
      <c r="A10" s="22" t="s">
        <v>7</v>
      </c>
      <c r="B10" s="23"/>
      <c r="C10" s="23"/>
      <c r="D10" s="23"/>
      <c r="E10" s="34"/>
      <c r="F10" s="34">
        <v>0.04</v>
      </c>
      <c r="G10" s="34"/>
      <c r="H10" s="34"/>
      <c r="I10" s="34"/>
      <c r="J10" s="34"/>
      <c r="K10" s="38"/>
    </row>
    <row r="11" spans="1:12" ht="15" customHeight="1" x14ac:dyDescent="0.25">
      <c r="A11" s="22" t="s">
        <v>8</v>
      </c>
      <c r="B11" s="23"/>
      <c r="C11" s="23"/>
      <c r="D11" s="23"/>
      <c r="E11" s="34"/>
      <c r="F11" s="34"/>
      <c r="G11" s="34">
        <v>0.04</v>
      </c>
      <c r="H11" s="34"/>
      <c r="I11" s="34"/>
      <c r="J11" s="34"/>
      <c r="K11" s="38"/>
    </row>
    <row r="12" spans="1:12" ht="15" customHeight="1" x14ac:dyDescent="0.25">
      <c r="A12" s="22" t="s">
        <v>9</v>
      </c>
      <c r="B12" s="23"/>
      <c r="C12" s="23"/>
      <c r="D12" s="23"/>
      <c r="E12" s="34"/>
      <c r="F12" s="34"/>
      <c r="G12" s="34"/>
      <c r="H12" s="34"/>
      <c r="I12" s="53">
        <v>0.622</v>
      </c>
      <c r="J12" s="53">
        <v>0.378</v>
      </c>
      <c r="K12" s="38"/>
    </row>
    <row r="13" spans="1:12" ht="15" customHeight="1" x14ac:dyDescent="0.25">
      <c r="A13" s="22"/>
      <c r="B13" s="24"/>
      <c r="C13" s="24"/>
      <c r="D13" s="24"/>
      <c r="E13" s="35"/>
      <c r="F13" s="35"/>
      <c r="G13" s="35"/>
      <c r="H13" s="35"/>
      <c r="I13" s="35"/>
      <c r="J13" s="35"/>
      <c r="K13" s="39"/>
    </row>
    <row r="14" spans="1:12" ht="15" customHeight="1" x14ac:dyDescent="0.25">
      <c r="A14" s="22" t="s">
        <v>6</v>
      </c>
      <c r="B14" s="25">
        <f>Mountaineer!B58</f>
        <v>8900794.9700000007</v>
      </c>
      <c r="C14" s="25">
        <f>Mountaineer!C58</f>
        <v>7990275.6500000004</v>
      </c>
      <c r="D14" s="25">
        <f>Mountaineer!D58</f>
        <v>125304</v>
      </c>
      <c r="E14" s="36">
        <f>Mountaineer!E58</f>
        <v>785215.3200000003</v>
      </c>
      <c r="F14" s="36">
        <f>Mountaineer!F58-1</f>
        <v>31407.600000000002</v>
      </c>
      <c r="G14" s="36">
        <f>Mountaineer!G58</f>
        <v>0</v>
      </c>
      <c r="H14" s="36">
        <f>Mountaineer!H58</f>
        <v>753806.72000000032</v>
      </c>
      <c r="I14" s="36">
        <f>Mountaineer!J58</f>
        <v>0</v>
      </c>
      <c r="J14" s="36">
        <f>Mountaineer!K58</f>
        <v>0</v>
      </c>
      <c r="K14" s="40">
        <f>Mountaineer!L58</f>
        <v>753806.72000000032</v>
      </c>
      <c r="L14" s="24"/>
    </row>
    <row r="15" spans="1:12" ht="15" customHeight="1" x14ac:dyDescent="0.25">
      <c r="A15" s="22"/>
      <c r="B15" s="25"/>
      <c r="C15" s="25"/>
      <c r="D15" s="25"/>
      <c r="E15" s="36"/>
      <c r="F15" s="36"/>
      <c r="G15" s="36"/>
      <c r="H15" s="36"/>
      <c r="I15" s="36"/>
      <c r="J15" s="36"/>
      <c r="K15" s="40"/>
    </row>
    <row r="16" spans="1:12" ht="15" customHeight="1" x14ac:dyDescent="0.25">
      <c r="A16" s="22" t="s">
        <v>5</v>
      </c>
      <c r="B16" s="25">
        <f>Wheeling!B58</f>
        <v>7002078.2000000002</v>
      </c>
      <c r="C16" s="25">
        <f>Wheeling!C58</f>
        <v>6246402.9800000004</v>
      </c>
      <c r="D16" s="25">
        <f>Wheeling!D58</f>
        <v>85939</v>
      </c>
      <c r="E16" s="25">
        <f>Wheeling!E58</f>
        <v>669736.21999999974</v>
      </c>
      <c r="F16" s="25">
        <f>Wheeling!F58</f>
        <v>26789.45</v>
      </c>
      <c r="G16" s="25">
        <f>Wheeling!G58</f>
        <v>0</v>
      </c>
      <c r="H16" s="25">
        <f>Wheeling!H58</f>
        <v>642946.76999999979</v>
      </c>
      <c r="I16" s="36">
        <f>Wheeling!J58</f>
        <v>0</v>
      </c>
      <c r="J16" s="36">
        <f>Wheeling!K58</f>
        <v>0</v>
      </c>
      <c r="K16" s="40">
        <f>Wheeling!L58</f>
        <v>642946.76999999979</v>
      </c>
    </row>
    <row r="17" spans="1:12" ht="15" customHeight="1" x14ac:dyDescent="0.25">
      <c r="A17" s="22"/>
      <c r="B17" s="25"/>
      <c r="C17" s="25"/>
      <c r="D17" s="25"/>
      <c r="E17" s="36"/>
      <c r="F17" s="36"/>
      <c r="G17" s="36"/>
      <c r="H17" s="36"/>
      <c r="I17" s="36"/>
      <c r="J17" s="36"/>
      <c r="K17" s="40"/>
    </row>
    <row r="18" spans="1:12" ht="15" customHeight="1" x14ac:dyDescent="0.25">
      <c r="A18" s="22" t="s">
        <v>4</v>
      </c>
      <c r="B18" s="25">
        <f>'Mardi Gras'!B58-1</f>
        <v>4912199.6100000003</v>
      </c>
      <c r="C18" s="25">
        <f>'Mardi Gras'!C58</f>
        <v>4436538.2300000004</v>
      </c>
      <c r="D18" s="25">
        <f>'Mardi Gras'!D58</f>
        <v>48483</v>
      </c>
      <c r="E18" s="25">
        <f>'Mardi Gras'!E58</f>
        <v>427179.37999999989</v>
      </c>
      <c r="F18" s="25">
        <f>'Mardi Gras'!F58</f>
        <v>17087.170000000002</v>
      </c>
      <c r="G18" s="25">
        <f>'Mardi Gras'!G58</f>
        <v>0</v>
      </c>
      <c r="H18" s="25">
        <f>'Mardi Gras'!H58</f>
        <v>410092.2099999999</v>
      </c>
      <c r="I18" s="36">
        <f>'Mardi Gras'!J58</f>
        <v>0</v>
      </c>
      <c r="J18" s="36">
        <f>'Mardi Gras'!K58</f>
        <v>0</v>
      </c>
      <c r="K18" s="26">
        <f>'Mardi Gras'!L58</f>
        <v>410092.2099999999</v>
      </c>
    </row>
    <row r="19" spans="1:12" ht="15" customHeight="1" x14ac:dyDescent="0.25">
      <c r="A19" s="22"/>
      <c r="B19" s="25"/>
      <c r="C19" s="25"/>
      <c r="D19" s="25"/>
      <c r="E19" s="36"/>
      <c r="F19" s="36"/>
      <c r="G19" s="36"/>
      <c r="H19" s="36"/>
      <c r="I19" s="36"/>
      <c r="J19" s="36"/>
      <c r="K19" s="40"/>
    </row>
    <row r="20" spans="1:12" ht="15" customHeight="1" x14ac:dyDescent="0.25">
      <c r="A20" s="22" t="s">
        <v>3</v>
      </c>
      <c r="B20" s="27">
        <f>'Charles Town'!B58-1</f>
        <v>25887189.57</v>
      </c>
      <c r="C20" s="27">
        <f>'Charles Town'!C58</f>
        <v>23164332.079999998</v>
      </c>
      <c r="D20" s="27">
        <f>'Charles Town'!D58</f>
        <v>0</v>
      </c>
      <c r="E20" s="27">
        <f>'Charles Town'!E58</f>
        <v>2722858.4900000021</v>
      </c>
      <c r="F20" s="27">
        <f>'Charles Town'!F58</f>
        <v>0</v>
      </c>
      <c r="G20" s="27">
        <f>'Charles Town'!G58</f>
        <v>108914.34</v>
      </c>
      <c r="H20" s="27">
        <f>'Charles Town'!H58</f>
        <v>2613944.1500000022</v>
      </c>
      <c r="I20" s="27">
        <f>'Charles Town'!J58</f>
        <v>162587.32</v>
      </c>
      <c r="J20" s="27">
        <f>'Charles Town'!K58</f>
        <v>98807.09</v>
      </c>
      <c r="K20" s="50">
        <f>'Charles Town'!L58</f>
        <v>2352549.7400000021</v>
      </c>
      <c r="L20" s="25"/>
    </row>
    <row r="21" spans="1:12" ht="15" customHeight="1" x14ac:dyDescent="0.25">
      <c r="A21" s="22"/>
      <c r="B21" s="25"/>
      <c r="C21" s="25"/>
      <c r="D21" s="25"/>
      <c r="E21" s="36"/>
      <c r="F21" s="36"/>
      <c r="G21" s="36"/>
      <c r="H21" s="36"/>
      <c r="I21" s="36"/>
      <c r="J21" s="36"/>
      <c r="K21" s="40"/>
      <c r="L21" s="24"/>
    </row>
    <row r="22" spans="1:12" ht="15" customHeight="1" thickBot="1" x14ac:dyDescent="0.3">
      <c r="A22" s="22"/>
      <c r="B22" s="36">
        <f>Total!B58-1</f>
        <v>46702263.350000001</v>
      </c>
      <c r="C22" s="36">
        <f>Total!C58</f>
        <v>41837548.939999998</v>
      </c>
      <c r="D22" s="36">
        <f>Total!D58</f>
        <v>259726</v>
      </c>
      <c r="E22" s="36">
        <f>Total!E58-1</f>
        <v>4604988.410000002</v>
      </c>
      <c r="F22" s="36">
        <f>Total!F58-1</f>
        <v>75284.22</v>
      </c>
      <c r="G22" s="36">
        <f>Total!G58</f>
        <v>108914.34</v>
      </c>
      <c r="H22" s="36">
        <f>Total!H58</f>
        <v>4420789.8500000024</v>
      </c>
      <c r="I22" s="36">
        <f>Total!J58</f>
        <v>162587.32</v>
      </c>
      <c r="J22" s="36">
        <f>Total!K58</f>
        <v>98807.09</v>
      </c>
      <c r="K22" s="48">
        <f>Total!L58+1</f>
        <v>4159396.4400000023</v>
      </c>
    </row>
    <row r="23" spans="1:12" ht="15" customHeight="1" thickBot="1" x14ac:dyDescent="0.3">
      <c r="A23" s="28"/>
      <c r="B23" s="29"/>
      <c r="C23" s="29"/>
      <c r="D23" s="29"/>
      <c r="E23" s="54" t="s">
        <v>45</v>
      </c>
      <c r="F23" s="54"/>
      <c r="G23" s="54"/>
      <c r="H23" s="54"/>
      <c r="I23" s="54"/>
      <c r="J23" s="54"/>
      <c r="K23" s="46"/>
    </row>
    <row r="24" spans="1:12" ht="15" customHeight="1" x14ac:dyDescent="0.25">
      <c r="A24" s="24"/>
      <c r="B24" s="30"/>
      <c r="C24" s="30"/>
      <c r="D24" s="30"/>
      <c r="E24" s="55"/>
      <c r="F24" s="55"/>
      <c r="G24" s="55"/>
      <c r="H24" s="55"/>
      <c r="I24" s="55"/>
      <c r="J24" s="55"/>
      <c r="K24" s="55"/>
      <c r="L24" s="30"/>
    </row>
    <row r="26" spans="1:12" ht="15" customHeight="1" thickBot="1" x14ac:dyDescent="0.3"/>
    <row r="27" spans="1:12" ht="15" customHeight="1" thickBot="1" x14ac:dyDescent="0.3">
      <c r="A27" s="70" t="s">
        <v>11</v>
      </c>
      <c r="B27" s="71"/>
      <c r="C27" s="71"/>
      <c r="D27" s="71"/>
      <c r="E27" s="71"/>
      <c r="F27" s="71"/>
      <c r="G27" s="71"/>
      <c r="H27" s="71"/>
      <c r="I27" s="71"/>
      <c r="J27" s="71"/>
      <c r="K27" s="71"/>
      <c r="L27" s="72"/>
    </row>
    <row r="28" spans="1:12" ht="47.25" x14ac:dyDescent="0.25">
      <c r="A28" s="19"/>
      <c r="B28" s="20" t="s">
        <v>12</v>
      </c>
      <c r="C28" s="20" t="s">
        <v>28</v>
      </c>
      <c r="D28" s="20" t="s">
        <v>23</v>
      </c>
      <c r="E28" s="33" t="s">
        <v>29</v>
      </c>
      <c r="F28" s="33" t="s">
        <v>30</v>
      </c>
      <c r="G28" s="33" t="s">
        <v>31</v>
      </c>
      <c r="H28" s="33" t="s">
        <v>32</v>
      </c>
      <c r="I28" s="33" t="s">
        <v>13</v>
      </c>
      <c r="J28" s="33" t="s">
        <v>44</v>
      </c>
      <c r="K28" s="33" t="s">
        <v>33</v>
      </c>
      <c r="L28" s="21" t="s">
        <v>34</v>
      </c>
    </row>
    <row r="29" spans="1:12" ht="15" customHeight="1" x14ac:dyDescent="0.25">
      <c r="A29" s="22"/>
      <c r="B29" s="30"/>
      <c r="C29" s="30"/>
      <c r="D29" s="30"/>
      <c r="E29" s="55"/>
      <c r="F29" s="55"/>
      <c r="G29" s="55"/>
      <c r="H29" s="55"/>
      <c r="I29" s="55"/>
      <c r="J29" s="55"/>
      <c r="K29" s="56"/>
      <c r="L29" s="31"/>
    </row>
    <row r="30" spans="1:12" ht="15" customHeight="1" x14ac:dyDescent="0.25">
      <c r="A30" s="22" t="s">
        <v>6</v>
      </c>
      <c r="B30" s="25">
        <f>Mountaineer!M58</f>
        <v>350520.12</v>
      </c>
      <c r="C30" s="25">
        <f>Mountaineer!N58+1</f>
        <v>226143.06</v>
      </c>
      <c r="D30" s="25">
        <f>Mountaineer!O58</f>
        <v>96864.14</v>
      </c>
      <c r="E30" s="36">
        <f>Mountaineer!P58</f>
        <v>47489.82</v>
      </c>
      <c r="F30" s="36">
        <f>Mountaineer!Q58</f>
        <v>7538.0599999999995</v>
      </c>
      <c r="G30" s="36">
        <f>Mountaineer!R58</f>
        <v>5088.2</v>
      </c>
      <c r="H30" s="36">
        <f>Mountaineer!S58</f>
        <v>5088.2</v>
      </c>
      <c r="I30" s="36">
        <f>Mountaineer!T58</f>
        <v>15076.119999999999</v>
      </c>
      <c r="J30" s="36">
        <f>Mountaineer!U58</f>
        <v>0</v>
      </c>
      <c r="K30" s="36">
        <f>Mountaineer!V58</f>
        <v>723.70075576036891</v>
      </c>
      <c r="L30" s="32">
        <f>Mountaineer!W58</f>
        <v>1085</v>
      </c>
    </row>
    <row r="31" spans="1:12" ht="15" customHeight="1" x14ac:dyDescent="0.25">
      <c r="A31" s="22"/>
      <c r="B31" s="25"/>
      <c r="C31" s="25"/>
      <c r="D31" s="25"/>
      <c r="E31" s="36"/>
      <c r="F31" s="36"/>
      <c r="G31" s="36"/>
      <c r="H31" s="36"/>
      <c r="I31" s="36"/>
      <c r="J31" s="36"/>
      <c r="K31" s="36"/>
      <c r="L31" s="32"/>
    </row>
    <row r="32" spans="1:12" ht="15" customHeight="1" x14ac:dyDescent="0.25">
      <c r="A32" s="22" t="s">
        <v>5</v>
      </c>
      <c r="B32" s="25">
        <f>Wheeling!M58</f>
        <v>298970.25</v>
      </c>
      <c r="C32" s="25">
        <f>Wheeling!N58</f>
        <v>192884.08</v>
      </c>
      <c r="D32" s="25">
        <f>Wheeling!O58+1</f>
        <v>82619.63</v>
      </c>
      <c r="E32" s="25">
        <f>Wheeling!P58</f>
        <v>40505.65</v>
      </c>
      <c r="F32" s="25">
        <f>Wheeling!Q58</f>
        <v>6429.46</v>
      </c>
      <c r="G32" s="25">
        <f>Wheeling!R58</f>
        <v>4339.8900000000003</v>
      </c>
      <c r="H32" s="25">
        <f>Wheeling!S58</f>
        <v>4339.8900000000003</v>
      </c>
      <c r="I32" s="25">
        <f>Wheeling!T58</f>
        <v>6429.46</v>
      </c>
      <c r="J32" s="25">
        <f>Wheeling!U58</f>
        <v>6429.46</v>
      </c>
      <c r="K32" s="25">
        <f>Wheeling!V58</f>
        <v>710.21868504771976</v>
      </c>
      <c r="L32" s="32">
        <f>Wheeling!W58</f>
        <v>943</v>
      </c>
    </row>
    <row r="33" spans="1:13" ht="15" customHeight="1" x14ac:dyDescent="0.25">
      <c r="A33" s="22"/>
      <c r="B33" s="25"/>
      <c r="C33" s="25"/>
      <c r="D33" s="25"/>
      <c r="E33" s="36"/>
      <c r="F33" s="36"/>
      <c r="G33" s="36"/>
      <c r="H33" s="36"/>
      <c r="I33" s="36"/>
      <c r="J33" s="36"/>
      <c r="K33" s="36"/>
      <c r="L33" s="32"/>
    </row>
    <row r="34" spans="1:13" ht="15" customHeight="1" x14ac:dyDescent="0.25">
      <c r="A34" s="22" t="s">
        <v>4</v>
      </c>
      <c r="B34" s="25">
        <f>'Mardi Gras'!M58-1</f>
        <v>190691.88</v>
      </c>
      <c r="C34" s="25">
        <f>'Mardi Gras'!N58</f>
        <v>123027.68000000001</v>
      </c>
      <c r="D34" s="25">
        <f>'Mardi Gras'!O58</f>
        <v>52696.84</v>
      </c>
      <c r="E34" s="25">
        <f>'Mardi Gras'!P58</f>
        <v>25835.81</v>
      </c>
      <c r="F34" s="25">
        <f>'Mardi Gras'!Q58</f>
        <v>4100.92</v>
      </c>
      <c r="G34" s="25">
        <f>'Mardi Gras'!R58</f>
        <v>2768.12</v>
      </c>
      <c r="H34" s="25">
        <f>'Mardi Gras'!S58</f>
        <v>2768.12</v>
      </c>
      <c r="I34" s="25">
        <f>'Mardi Gras'!T58</f>
        <v>4100.92</v>
      </c>
      <c r="J34" s="25">
        <f>'Mardi Gras'!U58</f>
        <v>4100.92</v>
      </c>
      <c r="K34" s="25">
        <f>'Mardi Gras'!V58</f>
        <v>691.22877022653699</v>
      </c>
      <c r="L34" s="32">
        <f>'Mardi Gras'!W58</f>
        <v>618</v>
      </c>
    </row>
    <row r="35" spans="1:13" ht="15" customHeight="1" x14ac:dyDescent="0.25">
      <c r="A35" s="22"/>
      <c r="B35" s="25"/>
      <c r="C35" s="25"/>
      <c r="D35" s="25"/>
      <c r="E35" s="36"/>
      <c r="F35" s="36"/>
      <c r="G35" s="36"/>
      <c r="H35" s="36"/>
      <c r="I35" s="36"/>
      <c r="J35" s="36"/>
      <c r="K35" s="36"/>
      <c r="L35" s="32"/>
    </row>
    <row r="36" spans="1:13" ht="15" customHeight="1" x14ac:dyDescent="0.25">
      <c r="A36" s="22" t="s">
        <v>3</v>
      </c>
      <c r="B36" s="27">
        <f>'Charles Town'!M58</f>
        <v>988070.89</v>
      </c>
      <c r="C36" s="27">
        <f>'Charles Town'!N58</f>
        <v>0</v>
      </c>
      <c r="D36" s="27">
        <f>'Charles Town'!O58-1</f>
        <v>1189212.8899999999</v>
      </c>
      <c r="E36" s="27">
        <f>'Charles Town'!P58-1</f>
        <v>84690.79</v>
      </c>
      <c r="F36" s="27">
        <f>'Charles Town'!Q58</f>
        <v>11762.75</v>
      </c>
      <c r="G36" s="27">
        <f>'Charles Town'!R58</f>
        <v>15879.71</v>
      </c>
      <c r="H36" s="27">
        <f>'Charles Town'!S58</f>
        <v>15879.71</v>
      </c>
      <c r="I36" s="27">
        <f>'Charles Town'!T58</f>
        <v>23525.5</v>
      </c>
      <c r="J36" s="27">
        <f>'Charles Town'!U58</f>
        <v>23525.5</v>
      </c>
      <c r="K36" s="27">
        <f>'Charles Town'!V58</f>
        <v>1707.121310344829</v>
      </c>
      <c r="L36" s="67">
        <f>'Charles Town'!W58</f>
        <v>1595</v>
      </c>
      <c r="M36" s="25"/>
    </row>
    <row r="37" spans="1:13" ht="15" customHeight="1" x14ac:dyDescent="0.25">
      <c r="A37" s="22"/>
      <c r="B37" s="25"/>
      <c r="C37" s="25"/>
      <c r="D37" s="25"/>
      <c r="E37" s="36"/>
      <c r="F37" s="36"/>
      <c r="G37" s="36"/>
      <c r="H37" s="36"/>
      <c r="I37" s="36"/>
      <c r="J37" s="36"/>
      <c r="K37" s="36"/>
      <c r="L37" s="32"/>
    </row>
    <row r="38" spans="1:13" ht="15" customHeight="1" thickBot="1" x14ac:dyDescent="0.3">
      <c r="A38" s="22"/>
      <c r="B38" s="36">
        <f>Total!M58-1</f>
        <v>1828253.1400000001</v>
      </c>
      <c r="C38" s="36">
        <f>Total!N58+1</f>
        <v>542054.82000000007</v>
      </c>
      <c r="D38" s="36">
        <f>Total!O58</f>
        <v>1421393.5</v>
      </c>
      <c r="E38" s="36">
        <f>Total!P58</f>
        <v>198523.07</v>
      </c>
      <c r="F38" s="36">
        <f>Total!Q58</f>
        <v>29831.190000000002</v>
      </c>
      <c r="G38" s="36">
        <f>Total!R58</f>
        <v>28075.919999999998</v>
      </c>
      <c r="H38" s="36">
        <f>Total!S58</f>
        <v>28075.919999999998</v>
      </c>
      <c r="I38" s="36">
        <f>Total!T58</f>
        <v>49132</v>
      </c>
      <c r="J38" s="36">
        <f>Total!U58</f>
        <v>34055.880000000005</v>
      </c>
      <c r="K38" s="36">
        <f>Total!V58</f>
        <v>3832.2695213794545</v>
      </c>
      <c r="L38" s="65">
        <f>Total!W58</f>
        <v>4241</v>
      </c>
    </row>
    <row r="39" spans="1:13" ht="15" customHeight="1" thickBot="1" x14ac:dyDescent="0.3">
      <c r="A39" s="28"/>
      <c r="B39" s="45"/>
      <c r="C39" s="45"/>
      <c r="D39" s="45"/>
      <c r="E39" s="57" t="s">
        <v>45</v>
      </c>
      <c r="F39" s="57"/>
      <c r="G39" s="57"/>
      <c r="H39" s="57"/>
      <c r="I39" s="57"/>
      <c r="J39" s="57"/>
      <c r="K39" s="58"/>
      <c r="L39" s="47"/>
    </row>
    <row r="41" spans="1:13" ht="15" customHeight="1" x14ac:dyDescent="0.25">
      <c r="A41" s="17" t="s">
        <v>53</v>
      </c>
    </row>
  </sheetData>
  <mergeCells count="6">
    <mergeCell ref="A27:L27"/>
    <mergeCell ref="A1:L1"/>
    <mergeCell ref="A2:L2"/>
    <mergeCell ref="A3:L3"/>
    <mergeCell ref="A4:L4"/>
    <mergeCell ref="A8:K8"/>
  </mergeCells>
  <pageMargins left="0.5" right="0.5" top="0.5" bottom="0.5" header="0" footer="0"/>
  <pageSetup scale="6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1"/>
  <sheetViews>
    <sheetView zoomScaleNormal="100" workbookViewId="0">
      <selection sqref="A1:L1"/>
    </sheetView>
  </sheetViews>
  <sheetFormatPr defaultRowHeight="15" customHeight="1" x14ac:dyDescent="0.25"/>
  <cols>
    <col min="1" max="1" width="45.140625" style="17" bestFit="1" customWidth="1"/>
    <col min="2" max="2" width="18.140625" style="17" bestFit="1" customWidth="1"/>
    <col min="3" max="3" width="16.85546875" style="17" bestFit="1" customWidth="1"/>
    <col min="4" max="4" width="14" style="17" bestFit="1" customWidth="1"/>
    <col min="5" max="5" width="16" style="17" customWidth="1"/>
    <col min="6" max="6" width="15.7109375" style="17" bestFit="1" customWidth="1"/>
    <col min="7" max="7" width="14.42578125" style="17" customWidth="1"/>
    <col min="8" max="8" width="16.28515625" style="52" customWidth="1"/>
    <col min="9" max="9" width="15.7109375" style="52" bestFit="1" customWidth="1"/>
    <col min="10" max="10" width="12.7109375" style="52" customWidth="1"/>
    <col min="11" max="11" width="15.7109375" style="52" customWidth="1"/>
    <col min="12" max="12" width="14.7109375" style="52" customWidth="1"/>
    <col min="13" max="16384" width="9.140625" style="17"/>
  </cols>
  <sheetData>
    <row r="1" spans="1:12" ht="21" x14ac:dyDescent="0.35">
      <c r="A1" s="73" t="s">
        <v>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</row>
    <row r="2" spans="1:12" ht="18.75" x14ac:dyDescent="0.3">
      <c r="A2" s="74" t="s">
        <v>1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</row>
    <row r="3" spans="1:12" ht="18.75" x14ac:dyDescent="0.3">
      <c r="A3" s="74" t="s">
        <v>55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</row>
    <row r="4" spans="1:12" ht="18.75" x14ac:dyDescent="0.3">
      <c r="A4" s="74" t="s">
        <v>46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</row>
    <row r="5" spans="1:12" ht="15" customHeight="1" x14ac:dyDescent="0.25">
      <c r="A5" s="18"/>
      <c r="B5" s="18"/>
      <c r="C5" s="18"/>
      <c r="D5" s="18"/>
      <c r="E5" s="18"/>
      <c r="F5" s="18"/>
      <c r="G5" s="18"/>
      <c r="H5" s="51"/>
      <c r="I5" s="51"/>
      <c r="J5" s="51"/>
      <c r="K5" s="51"/>
      <c r="L5" s="51"/>
    </row>
    <row r="7" spans="1:12" ht="15" customHeight="1" thickBot="1" x14ac:dyDescent="0.3"/>
    <row r="8" spans="1:12" ht="15" customHeight="1" thickBot="1" x14ac:dyDescent="0.3">
      <c r="A8" s="70" t="s">
        <v>2</v>
      </c>
      <c r="B8" s="71"/>
      <c r="C8" s="71"/>
      <c r="D8" s="71"/>
      <c r="E8" s="71"/>
      <c r="F8" s="71"/>
      <c r="G8" s="71"/>
      <c r="H8" s="71"/>
      <c r="I8" s="71"/>
      <c r="J8" s="71"/>
      <c r="K8" s="72"/>
      <c r="L8" s="59"/>
    </row>
    <row r="9" spans="1:12" ht="47.25" x14ac:dyDescent="0.25">
      <c r="A9" s="19" t="s">
        <v>10</v>
      </c>
      <c r="B9" s="20" t="s">
        <v>18</v>
      </c>
      <c r="C9" s="20" t="s">
        <v>19</v>
      </c>
      <c r="D9" s="20" t="s">
        <v>21</v>
      </c>
      <c r="E9" s="33" t="s">
        <v>22</v>
      </c>
      <c r="F9" s="20" t="s">
        <v>20</v>
      </c>
      <c r="G9" s="20" t="s">
        <v>23</v>
      </c>
      <c r="H9" s="33" t="s">
        <v>24</v>
      </c>
      <c r="I9" s="33" t="s">
        <v>25</v>
      </c>
      <c r="J9" s="33" t="s">
        <v>26</v>
      </c>
      <c r="K9" s="37" t="s">
        <v>27</v>
      </c>
    </row>
    <row r="10" spans="1:12" ht="15" customHeight="1" x14ac:dyDescent="0.25">
      <c r="A10" s="22" t="s">
        <v>7</v>
      </c>
      <c r="B10" s="23"/>
      <c r="C10" s="23"/>
      <c r="D10" s="23"/>
      <c r="E10" s="34"/>
      <c r="F10" s="23">
        <v>0.04</v>
      </c>
      <c r="G10" s="23"/>
      <c r="H10" s="34"/>
      <c r="I10" s="34"/>
      <c r="J10" s="34"/>
      <c r="K10" s="38"/>
    </row>
    <row r="11" spans="1:12" ht="15" customHeight="1" x14ac:dyDescent="0.25">
      <c r="A11" s="22" t="s">
        <v>8</v>
      </c>
      <c r="B11" s="23"/>
      <c r="C11" s="23"/>
      <c r="D11" s="23"/>
      <c r="E11" s="34"/>
      <c r="F11" s="23"/>
      <c r="G11" s="23">
        <v>0.04</v>
      </c>
      <c r="H11" s="34"/>
      <c r="I11" s="34"/>
      <c r="J11" s="34"/>
      <c r="K11" s="38"/>
    </row>
    <row r="12" spans="1:12" ht="15" customHeight="1" x14ac:dyDescent="0.25">
      <c r="A12" s="22" t="s">
        <v>9</v>
      </c>
      <c r="B12" s="23"/>
      <c r="C12" s="23"/>
      <c r="D12" s="23"/>
      <c r="E12" s="34"/>
      <c r="F12" s="23"/>
      <c r="G12" s="23"/>
      <c r="H12" s="34"/>
      <c r="I12" s="53">
        <v>0.622</v>
      </c>
      <c r="J12" s="53">
        <v>0.378</v>
      </c>
      <c r="K12" s="38"/>
    </row>
    <row r="13" spans="1:12" ht="15" customHeight="1" x14ac:dyDescent="0.25">
      <c r="A13" s="22"/>
      <c r="B13" s="24"/>
      <c r="C13" s="24"/>
      <c r="D13" s="24"/>
      <c r="E13" s="35"/>
      <c r="F13" s="24"/>
      <c r="G13" s="24"/>
      <c r="H13" s="35"/>
      <c r="I13" s="35"/>
      <c r="J13" s="35"/>
      <c r="K13" s="39"/>
    </row>
    <row r="14" spans="1:12" ht="15" customHeight="1" x14ac:dyDescent="0.25">
      <c r="A14" s="22" t="s">
        <v>6</v>
      </c>
      <c r="B14" s="25">
        <f>Mountaineer!$B$60</f>
        <v>813677772.15000021</v>
      </c>
      <c r="C14" s="25">
        <f>Mountaineer!$C$60</f>
        <v>723204731.86000001</v>
      </c>
      <c r="D14" s="25">
        <f>Mountaineer!$D$60</f>
        <v>12735102</v>
      </c>
      <c r="E14" s="36">
        <f>Mountaineer!$E$60</f>
        <v>77737938.289999992</v>
      </c>
      <c r="F14" s="25">
        <f>Mountaineer!$F$60</f>
        <v>3109517.4900000007</v>
      </c>
      <c r="G14" s="25">
        <f>Mountaineer!$G$60</f>
        <v>0</v>
      </c>
      <c r="H14" s="36">
        <f>Mountaineer!$H$60</f>
        <v>74628420.799999997</v>
      </c>
      <c r="I14" s="36">
        <f>Mountaineer!$J$60</f>
        <v>0</v>
      </c>
      <c r="J14" s="36">
        <f>Mountaineer!$K$60</f>
        <v>0</v>
      </c>
      <c r="K14" s="40">
        <f>Mountaineer!$L$60</f>
        <v>74628420.799999997</v>
      </c>
    </row>
    <row r="15" spans="1:12" ht="15" customHeight="1" x14ac:dyDescent="0.25">
      <c r="A15" s="22"/>
      <c r="B15" s="25"/>
      <c r="C15" s="25"/>
      <c r="D15" s="25"/>
      <c r="E15" s="36"/>
      <c r="F15" s="25"/>
      <c r="G15" s="25"/>
      <c r="H15" s="36"/>
      <c r="I15" s="36"/>
      <c r="J15" s="36"/>
      <c r="K15" s="40"/>
    </row>
    <row r="16" spans="1:12" ht="15" customHeight="1" x14ac:dyDescent="0.25">
      <c r="A16" s="22" t="s">
        <v>5</v>
      </c>
      <c r="B16" s="25">
        <f>Wheeling!$B$60</f>
        <v>780877301.2900002</v>
      </c>
      <c r="C16" s="25">
        <f>Wheeling!$C$60</f>
        <v>700407757.9000001</v>
      </c>
      <c r="D16" s="25">
        <f>Wheeling!$D$60</f>
        <v>9894761.2000000011</v>
      </c>
      <c r="E16" s="36">
        <f>Wheeling!$E$60</f>
        <v>70574782.189999998</v>
      </c>
      <c r="F16" s="25">
        <f>Wheeling!$F$60</f>
        <v>2822991.2900000005</v>
      </c>
      <c r="G16" s="25">
        <f>Wheeling!$G$60</f>
        <v>0</v>
      </c>
      <c r="H16" s="36">
        <f>Wheeling!$H$60</f>
        <v>67751790.900000006</v>
      </c>
      <c r="I16" s="36">
        <f>Wheeling!$J$60</f>
        <v>0</v>
      </c>
      <c r="J16" s="36">
        <f>Wheeling!$K$60</f>
        <v>0</v>
      </c>
      <c r="K16" s="40">
        <f>Wheeling!$L$60</f>
        <v>67751790.900000006</v>
      </c>
    </row>
    <row r="17" spans="1:12" ht="15" customHeight="1" x14ac:dyDescent="0.25">
      <c r="A17" s="22"/>
      <c r="B17" s="25"/>
      <c r="C17" s="25"/>
      <c r="D17" s="25"/>
      <c r="E17" s="36"/>
      <c r="F17" s="25"/>
      <c r="G17" s="25"/>
      <c r="H17" s="36"/>
      <c r="I17" s="36"/>
      <c r="J17" s="36"/>
      <c r="K17" s="40"/>
    </row>
    <row r="18" spans="1:12" ht="15" customHeight="1" x14ac:dyDescent="0.25">
      <c r="A18" s="22" t="s">
        <v>4</v>
      </c>
      <c r="B18" s="25">
        <f>'Mardi Gras'!$B$60</f>
        <v>521620193.44999993</v>
      </c>
      <c r="C18" s="25">
        <f>'Mardi Gras'!$C$60</f>
        <v>473438184.03000003</v>
      </c>
      <c r="D18" s="25">
        <f>'Mardi Gras'!$D$60</f>
        <v>4141027</v>
      </c>
      <c r="E18" s="36">
        <f>'Mardi Gras'!$E$60</f>
        <v>44040982.420000009</v>
      </c>
      <c r="F18" s="25">
        <f>'Mardi Gras'!$F$60</f>
        <v>1761639.3300000008</v>
      </c>
      <c r="G18" s="25">
        <f>'Mardi Gras'!$G$60</f>
        <v>0</v>
      </c>
      <c r="H18" s="36">
        <f>'Mardi Gras'!$H$60</f>
        <v>42279343.089999996</v>
      </c>
      <c r="I18" s="36">
        <f>'Mardi Gras'!$J$60</f>
        <v>0</v>
      </c>
      <c r="J18" s="36">
        <f>'Mardi Gras'!$K$60</f>
        <v>0</v>
      </c>
      <c r="K18" s="40">
        <f>'Mardi Gras'!$L$60</f>
        <v>42279343.089999996</v>
      </c>
    </row>
    <row r="19" spans="1:12" ht="15" customHeight="1" x14ac:dyDescent="0.25">
      <c r="A19" s="22"/>
      <c r="B19" s="25"/>
      <c r="C19" s="25"/>
      <c r="D19" s="25"/>
      <c r="E19" s="36"/>
      <c r="F19" s="25"/>
      <c r="G19" s="25"/>
      <c r="H19" s="36"/>
      <c r="I19" s="36"/>
      <c r="J19" s="36"/>
      <c r="K19" s="40"/>
    </row>
    <row r="20" spans="1:12" ht="15" customHeight="1" x14ac:dyDescent="0.25">
      <c r="A20" s="22" t="s">
        <v>3</v>
      </c>
      <c r="B20" s="27">
        <f>'Charles Town'!$B$60+1</f>
        <v>2430597503.3599997</v>
      </c>
      <c r="C20" s="27">
        <f>'Charles Town'!$C$60</f>
        <v>2185294472.5999999</v>
      </c>
      <c r="D20" s="27">
        <f>'Charles Town'!$D$60</f>
        <v>33422106.800000001</v>
      </c>
      <c r="E20" s="49">
        <f>'Charles Town'!$E$60</f>
        <v>211880922.95999995</v>
      </c>
      <c r="F20" s="27">
        <f>'Charles Town'!$F$60</f>
        <v>5340672.8699999992</v>
      </c>
      <c r="G20" s="27">
        <f>'Charles Town'!$G$60</f>
        <v>3134564.0599999996</v>
      </c>
      <c r="H20" s="49">
        <f>'Charles Town'!$H$60</f>
        <v>203405686.02999997</v>
      </c>
      <c r="I20" s="49">
        <f>'Charles Town'!$J$60-1</f>
        <v>4429795.5999999996</v>
      </c>
      <c r="J20" s="49">
        <f>'Charles Town'!$K$60</f>
        <v>2692062.9099999997</v>
      </c>
      <c r="K20" s="50">
        <f>'Charles Town'!$L$60</f>
        <v>196283826.52000001</v>
      </c>
    </row>
    <row r="21" spans="1:12" ht="15" customHeight="1" x14ac:dyDescent="0.25">
      <c r="A21" s="22"/>
      <c r="B21" s="25"/>
      <c r="C21" s="25"/>
      <c r="D21" s="25"/>
      <c r="E21" s="36"/>
      <c r="F21" s="25"/>
      <c r="G21" s="25"/>
      <c r="H21" s="36"/>
      <c r="I21" s="36"/>
      <c r="J21" s="36"/>
      <c r="K21" s="40"/>
    </row>
    <row r="22" spans="1:12" ht="15" customHeight="1" thickBot="1" x14ac:dyDescent="0.3">
      <c r="A22" s="22"/>
      <c r="B22" s="36">
        <f>Total!$B$60</f>
        <v>4546772769.250001</v>
      </c>
      <c r="C22" s="25">
        <f>Total!$C$60+1</f>
        <v>4082345147.3899994</v>
      </c>
      <c r="D22" s="25">
        <f>Total!$D$60</f>
        <v>60192997</v>
      </c>
      <c r="E22" s="36">
        <f>Total!$E$60-1</f>
        <v>404234624.86000007</v>
      </c>
      <c r="F22" s="25">
        <f>Total!$F$60-1</f>
        <v>13034819.980000002</v>
      </c>
      <c r="G22" s="25">
        <f>Total!$G$60</f>
        <v>3134564.0599999996</v>
      </c>
      <c r="H22" s="36">
        <f>Total!$H$60</f>
        <v>388065240.81999993</v>
      </c>
      <c r="I22" s="36">
        <f>Total!$J$60-1</f>
        <v>4429795.5999999996</v>
      </c>
      <c r="J22" s="36">
        <f>Total!$K$60</f>
        <v>2692062.9099999997</v>
      </c>
      <c r="K22" s="48">
        <f>Total!$L$60+1</f>
        <v>380943382.30999994</v>
      </c>
    </row>
    <row r="23" spans="1:12" ht="15" customHeight="1" thickBot="1" x14ac:dyDescent="0.3">
      <c r="A23" s="28"/>
      <c r="B23" s="45"/>
      <c r="C23" s="45"/>
      <c r="D23" s="45"/>
      <c r="E23" s="45"/>
      <c r="F23" s="45"/>
      <c r="G23" s="45"/>
      <c r="H23" s="57"/>
      <c r="I23" s="57"/>
      <c r="J23" s="57"/>
      <c r="K23" s="60"/>
    </row>
    <row r="26" spans="1:12" ht="15" customHeight="1" thickBot="1" x14ac:dyDescent="0.3"/>
    <row r="27" spans="1:12" ht="15" customHeight="1" thickBot="1" x14ac:dyDescent="0.3">
      <c r="A27" s="70" t="s">
        <v>11</v>
      </c>
      <c r="B27" s="71"/>
      <c r="C27" s="71"/>
      <c r="D27" s="71"/>
      <c r="E27" s="71"/>
      <c r="F27" s="71"/>
      <c r="G27" s="71"/>
      <c r="H27" s="71"/>
      <c r="I27" s="71"/>
      <c r="J27" s="71"/>
      <c r="K27" s="71"/>
      <c r="L27" s="72"/>
    </row>
    <row r="28" spans="1:12" ht="47.25" x14ac:dyDescent="0.25">
      <c r="A28" s="19"/>
      <c r="B28" s="20" t="s">
        <v>12</v>
      </c>
      <c r="C28" s="20" t="s">
        <v>28</v>
      </c>
      <c r="D28" s="20" t="s">
        <v>23</v>
      </c>
      <c r="E28" s="20" t="s">
        <v>29</v>
      </c>
      <c r="F28" s="20" t="s">
        <v>30</v>
      </c>
      <c r="G28" s="20" t="s">
        <v>31</v>
      </c>
      <c r="H28" s="33" t="s">
        <v>32</v>
      </c>
      <c r="I28" s="33" t="s">
        <v>13</v>
      </c>
      <c r="J28" s="33" t="s">
        <v>44</v>
      </c>
      <c r="K28" s="33" t="s">
        <v>33</v>
      </c>
      <c r="L28" s="37" t="s">
        <v>35</v>
      </c>
    </row>
    <row r="29" spans="1:12" ht="15" customHeight="1" x14ac:dyDescent="0.25">
      <c r="A29" s="22"/>
      <c r="B29" s="30"/>
      <c r="C29" s="30"/>
      <c r="D29" s="30"/>
      <c r="E29" s="30"/>
      <c r="F29" s="30"/>
      <c r="G29" s="30"/>
      <c r="H29" s="55"/>
      <c r="I29" s="55"/>
      <c r="J29" s="55"/>
      <c r="K29" s="56"/>
      <c r="L29" s="61"/>
    </row>
    <row r="30" spans="1:12" ht="15" customHeight="1" x14ac:dyDescent="0.25">
      <c r="A30" s="22" t="s">
        <v>6</v>
      </c>
      <c r="B30" s="25">
        <f>Mountaineer!$M$60</f>
        <v>34702215.679999992</v>
      </c>
      <c r="C30" s="25">
        <f>Mountaineer!$N$60</f>
        <v>22388526.359999996</v>
      </c>
      <c r="D30" s="25">
        <f>Mountaineer!$O$60</f>
        <v>9589752.0900000017</v>
      </c>
      <c r="E30" s="25">
        <f>Mountaineer!$P$60</f>
        <v>4701590.51</v>
      </c>
      <c r="F30" s="25">
        <f>Mountaineer!$Q$60</f>
        <v>746284.18000000028</v>
      </c>
      <c r="G30" s="25">
        <f>Mountaineer!$R$60</f>
        <v>503741.80999999988</v>
      </c>
      <c r="H30" s="36">
        <f>Mountaineer!$S$60</f>
        <v>503741.80999999988</v>
      </c>
      <c r="I30" s="36">
        <f>Mountaineer!$T$60</f>
        <v>1492568.3600000006</v>
      </c>
      <c r="J30" s="36">
        <v>0</v>
      </c>
      <c r="K30" s="36">
        <f>Mountaineer!$V$60</f>
        <v>1625.6406333300092</v>
      </c>
      <c r="L30" s="62">
        <f>Mountaineer!$W$60</f>
        <v>938.22641509433959</v>
      </c>
    </row>
    <row r="31" spans="1:12" ht="15" customHeight="1" x14ac:dyDescent="0.25">
      <c r="A31" s="22"/>
      <c r="B31" s="25"/>
      <c r="C31" s="25"/>
      <c r="D31" s="25"/>
      <c r="E31" s="25"/>
      <c r="F31" s="25"/>
      <c r="G31" s="25"/>
      <c r="H31" s="36"/>
      <c r="I31" s="36"/>
      <c r="J31" s="36"/>
      <c r="K31" s="36"/>
      <c r="L31" s="62"/>
    </row>
    <row r="32" spans="1:12" ht="15" customHeight="1" x14ac:dyDescent="0.25">
      <c r="A32" s="22" t="s">
        <v>5</v>
      </c>
      <c r="B32" s="25">
        <f>Wheeling!$M$60</f>
        <v>31504582.759999998</v>
      </c>
      <c r="C32" s="25">
        <f>Wheeling!$N$60</f>
        <v>20325537.200000003</v>
      </c>
      <c r="D32" s="25">
        <f>Wheeling!$O$60</f>
        <v>8706105.1300000027</v>
      </c>
      <c r="E32" s="25">
        <f>Wheeling!$P$60-1</f>
        <v>4268361.82</v>
      </c>
      <c r="F32" s="25">
        <f>Wheeling!$Q$60</f>
        <v>677517.92999999993</v>
      </c>
      <c r="G32" s="25">
        <f>Wheeling!$R$60</f>
        <v>457324.60000000009</v>
      </c>
      <c r="H32" s="36">
        <f>Wheeling!$S$60</f>
        <v>457324.60000000009</v>
      </c>
      <c r="I32" s="36">
        <f>Wheeling!$T$60</f>
        <v>1062174.865</v>
      </c>
      <c r="J32" s="36">
        <f>Wheeling!$U$60</f>
        <v>292860.98499999999</v>
      </c>
      <c r="K32" s="36">
        <f>Wheeling!$V$60</f>
        <v>1894.5133762661612</v>
      </c>
      <c r="L32" s="62">
        <f>Wheeling!$W$60</f>
        <v>707</v>
      </c>
    </row>
    <row r="33" spans="1:12" ht="15" customHeight="1" x14ac:dyDescent="0.25">
      <c r="A33" s="22"/>
      <c r="B33" s="25"/>
      <c r="C33" s="25"/>
      <c r="D33" s="25"/>
      <c r="E33" s="25"/>
      <c r="F33" s="25"/>
      <c r="G33" s="25"/>
      <c r="H33" s="36"/>
      <c r="I33" s="36"/>
      <c r="J33" s="36"/>
      <c r="K33" s="36"/>
      <c r="L33" s="62"/>
    </row>
    <row r="34" spans="1:12" ht="15" customHeight="1" x14ac:dyDescent="0.25">
      <c r="A34" s="22" t="s">
        <v>4</v>
      </c>
      <c r="B34" s="25">
        <f>'Mardi Gras'!$M$60</f>
        <v>19659894.529999997</v>
      </c>
      <c r="C34" s="25">
        <f>'Mardi Gras'!$N$60-1</f>
        <v>12683802.020000001</v>
      </c>
      <c r="D34" s="25">
        <f>'Mardi Gras'!$O$60</f>
        <v>5432895.4900000012</v>
      </c>
      <c r="E34" s="25">
        <f>'Mardi Gras'!$P$60</f>
        <v>2663598.6400000006</v>
      </c>
      <c r="F34" s="25">
        <f>'Mardi Gras'!$Q$60</f>
        <v>422793.41000000003</v>
      </c>
      <c r="G34" s="25">
        <f>'Mardi Gras'!$R$60</f>
        <v>285385.59000000003</v>
      </c>
      <c r="H34" s="36">
        <f>'Mardi Gras'!$S$60</f>
        <v>285385.59000000003</v>
      </c>
      <c r="I34" s="36">
        <f>'Mardi Gras'!$T$60</f>
        <v>652984.91999999993</v>
      </c>
      <c r="J34" s="36">
        <f>'Mardi Gras'!$U$60</f>
        <v>192601.90000000005</v>
      </c>
      <c r="K34" s="36">
        <f>'Mardi Gras'!$V$60</f>
        <v>1542.6593639963253</v>
      </c>
      <c r="L34" s="62">
        <f>'Mardi Gras'!$W$60</f>
        <v>538.52830188679241</v>
      </c>
    </row>
    <row r="35" spans="1:12" ht="15" customHeight="1" x14ac:dyDescent="0.25">
      <c r="A35" s="22"/>
      <c r="B35" s="25"/>
      <c r="C35" s="25"/>
      <c r="D35" s="25"/>
      <c r="E35" s="25"/>
      <c r="F35" s="25"/>
      <c r="G35" s="25"/>
      <c r="H35" s="36"/>
      <c r="I35" s="36"/>
      <c r="J35" s="36"/>
      <c r="K35" s="36"/>
      <c r="L35" s="62"/>
    </row>
    <row r="36" spans="1:12" ht="15" customHeight="1" x14ac:dyDescent="0.25">
      <c r="A36" s="22" t="s">
        <v>3</v>
      </c>
      <c r="B36" s="27">
        <f>'Charles Town'!$M$60</f>
        <v>88387626.209999993</v>
      </c>
      <c r="C36" s="27">
        <f>'Charles Town'!$N$60+1</f>
        <v>39656128.370000005</v>
      </c>
      <c r="D36" s="27">
        <f>'Charles Town'!$O$60</f>
        <v>49386941.019999996</v>
      </c>
      <c r="E36" s="27">
        <f>'Charles Town'!$P$60</f>
        <v>10635269.220000004</v>
      </c>
      <c r="F36" s="27">
        <f>'Charles Town'!$Q$60</f>
        <v>1642354.5799999994</v>
      </c>
      <c r="G36" s="27">
        <f>'Charles Town'!$R$60</f>
        <v>1324915.8099999998</v>
      </c>
      <c r="H36" s="49">
        <f>'Charles Town'!$S$60</f>
        <v>1324915.8099999998</v>
      </c>
      <c r="I36" s="49">
        <f>'Charles Town'!$T$60</f>
        <v>2418870.0109999999</v>
      </c>
      <c r="J36" s="49">
        <f>'Charles Town'!$U$60</f>
        <v>1506806.4910000002</v>
      </c>
      <c r="K36" s="49">
        <f>'Charles Town'!$V$60</f>
        <v>3089.3668818410888</v>
      </c>
      <c r="L36" s="63">
        <f>'Charles Town'!$W$60</f>
        <v>1296.4528301886792</v>
      </c>
    </row>
    <row r="37" spans="1:12" ht="15" customHeight="1" x14ac:dyDescent="0.25">
      <c r="A37" s="22"/>
      <c r="B37" s="25"/>
      <c r="C37" s="25"/>
      <c r="D37" s="25"/>
      <c r="E37" s="25"/>
      <c r="F37" s="25"/>
      <c r="G37" s="25"/>
      <c r="H37" s="36"/>
      <c r="I37" s="36"/>
      <c r="J37" s="36"/>
      <c r="K37" s="36"/>
      <c r="L37" s="62"/>
    </row>
    <row r="38" spans="1:12" ht="15" customHeight="1" thickBot="1" x14ac:dyDescent="0.3">
      <c r="A38" s="22"/>
      <c r="B38" s="36">
        <f>Total!$M$60+1</f>
        <v>174254320.17999998</v>
      </c>
      <c r="C38" s="36">
        <f>Total!$N$60-1</f>
        <v>95053992.949999988</v>
      </c>
      <c r="D38" s="25">
        <f>Total!$O$60-1</f>
        <v>73115692.730000004</v>
      </c>
      <c r="E38" s="25">
        <f>Total!$P$60</f>
        <v>22268821.190000009</v>
      </c>
      <c r="F38" s="25">
        <f>Total!$Q$60</f>
        <v>3488950.0999999996</v>
      </c>
      <c r="G38" s="36">
        <f>Total!$R$60+1</f>
        <v>2571368.8099999996</v>
      </c>
      <c r="H38" s="36">
        <f>Total!$S$60+1</f>
        <v>2571368.8099999996</v>
      </c>
      <c r="I38" s="36">
        <f>Total!$T$60</f>
        <v>5626598.1560000014</v>
      </c>
      <c r="J38" s="36">
        <f>Total!$U$60</f>
        <v>1992269.3759999999</v>
      </c>
      <c r="K38" s="64">
        <f>Total!$V$60</f>
        <v>8152.1802554335864</v>
      </c>
      <c r="L38" s="65">
        <f>Total!$W$60</f>
        <v>3480.2075471698113</v>
      </c>
    </row>
    <row r="39" spans="1:12" ht="15" customHeight="1" thickBot="1" x14ac:dyDescent="0.3">
      <c r="A39" s="28"/>
      <c r="B39" s="45"/>
      <c r="C39" s="45"/>
      <c r="D39" s="45"/>
      <c r="E39" s="45"/>
      <c r="F39" s="45"/>
      <c r="G39" s="45"/>
      <c r="H39" s="57"/>
      <c r="I39" s="57"/>
      <c r="J39" s="57"/>
      <c r="K39" s="58"/>
      <c r="L39" s="66"/>
    </row>
    <row r="41" spans="1:12" ht="15" customHeight="1" x14ac:dyDescent="0.25">
      <c r="A41" s="17" t="s">
        <v>56</v>
      </c>
      <c r="E41" s="52"/>
      <c r="F41" s="52"/>
      <c r="G41" s="52"/>
    </row>
  </sheetData>
  <mergeCells count="6">
    <mergeCell ref="A27:L27"/>
    <mergeCell ref="A1:L1"/>
    <mergeCell ref="A2:L2"/>
    <mergeCell ref="A3:L3"/>
    <mergeCell ref="A4:L4"/>
    <mergeCell ref="A8:K8"/>
  </mergeCells>
  <pageMargins left="0.5" right="0.5" top="0.5" bottom="0.5" header="0" footer="0"/>
  <pageSetup scale="5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64"/>
  <sheetViews>
    <sheetView workbookViewId="0">
      <pane ySplit="3" topLeftCell="A31" activePane="bottomLeft" state="frozen"/>
      <selection pane="bottomLeft"/>
    </sheetView>
  </sheetViews>
  <sheetFormatPr defaultRowHeight="15" customHeight="1" x14ac:dyDescent="0.25"/>
  <cols>
    <col min="1" max="1" width="13.7109375" style="2" customWidth="1"/>
    <col min="2" max="2" width="18.7109375" style="2" customWidth="1"/>
    <col min="3" max="3" width="16.5703125" style="2" customWidth="1"/>
    <col min="4" max="4" width="15.28515625" style="2" customWidth="1"/>
    <col min="5" max="5" width="17" style="2" customWidth="1"/>
    <col min="6" max="6" width="14.7109375" style="2" bestFit="1" customWidth="1"/>
    <col min="7" max="7" width="13.7109375" style="2" bestFit="1" customWidth="1"/>
    <col min="8" max="8" width="15.7109375" style="2" customWidth="1"/>
    <col min="9" max="9" width="1.42578125" style="2" hidden="1" customWidth="1"/>
    <col min="10" max="11" width="12.7109375" style="2" customWidth="1"/>
    <col min="12" max="12" width="16.5703125" style="2" customWidth="1"/>
    <col min="13" max="13" width="16.7109375" style="2" customWidth="1"/>
    <col min="14" max="14" width="15.7109375" style="2" customWidth="1"/>
    <col min="15" max="16" width="14.7109375" style="2" bestFit="1" customWidth="1"/>
    <col min="17" max="19" width="13.7109375" style="2" customWidth="1"/>
    <col min="20" max="20" width="14.5703125" style="2" customWidth="1"/>
    <col min="21" max="21" width="0.140625" style="2" customWidth="1"/>
    <col min="22" max="23" width="13.7109375" style="2" customWidth="1"/>
    <col min="24" max="16384" width="9.140625" style="2"/>
  </cols>
  <sheetData>
    <row r="1" spans="1:96" s="3" customFormat="1" ht="45" customHeight="1" x14ac:dyDescent="0.25">
      <c r="A1" s="3" t="s">
        <v>14</v>
      </c>
      <c r="B1" s="3" t="s">
        <v>18</v>
      </c>
      <c r="C1" s="3" t="s">
        <v>19</v>
      </c>
      <c r="D1" s="3" t="s">
        <v>21</v>
      </c>
      <c r="E1" s="3" t="s">
        <v>22</v>
      </c>
      <c r="F1" s="3" t="s">
        <v>20</v>
      </c>
      <c r="G1" s="3" t="s">
        <v>23</v>
      </c>
      <c r="H1" s="3" t="s">
        <v>24</v>
      </c>
      <c r="I1" s="3" t="s">
        <v>15</v>
      </c>
      <c r="J1" s="3" t="s">
        <v>25</v>
      </c>
      <c r="K1" s="3" t="s">
        <v>26</v>
      </c>
      <c r="L1" s="3" t="s">
        <v>27</v>
      </c>
      <c r="M1" s="3" t="s">
        <v>12</v>
      </c>
      <c r="N1" s="3" t="s">
        <v>28</v>
      </c>
      <c r="O1" s="3" t="s">
        <v>23</v>
      </c>
      <c r="P1" s="3" t="s">
        <v>29</v>
      </c>
      <c r="Q1" s="3" t="s">
        <v>30</v>
      </c>
      <c r="R1" s="3" t="s">
        <v>31</v>
      </c>
      <c r="S1" s="3" t="s">
        <v>32</v>
      </c>
      <c r="T1" s="3" t="s">
        <v>43</v>
      </c>
      <c r="V1" s="3" t="s">
        <v>33</v>
      </c>
      <c r="W1" s="3" t="s">
        <v>36</v>
      </c>
    </row>
    <row r="2" spans="1:96" s="4" customFormat="1" ht="15" customHeight="1" x14ac:dyDescent="0.25">
      <c r="A2" s="4" t="s">
        <v>49</v>
      </c>
      <c r="B2" s="5">
        <v>801136752.47999978</v>
      </c>
      <c r="C2" s="5">
        <v>712330399.13</v>
      </c>
      <c r="D2" s="5">
        <v>12935563</v>
      </c>
      <c r="E2" s="5">
        <v>75870790.349999994</v>
      </c>
      <c r="F2" s="5">
        <v>3034831.67</v>
      </c>
      <c r="G2" s="5">
        <v>0</v>
      </c>
      <c r="H2" s="5">
        <v>72835958.680000007</v>
      </c>
      <c r="I2" s="5">
        <v>0</v>
      </c>
      <c r="J2" s="5">
        <v>0</v>
      </c>
      <c r="K2" s="5">
        <v>0</v>
      </c>
      <c r="L2" s="5">
        <v>72835958.680000007</v>
      </c>
      <c r="M2" s="5">
        <v>33868720.789999999</v>
      </c>
      <c r="N2" s="5">
        <v>21850787.309999995</v>
      </c>
      <c r="O2" s="5">
        <v>9359420.8000000007</v>
      </c>
      <c r="P2" s="5">
        <v>4588665.3999999994</v>
      </c>
      <c r="Q2" s="5">
        <v>728359.64</v>
      </c>
      <c r="R2" s="5">
        <v>491642.73000000004</v>
      </c>
      <c r="S2" s="5">
        <v>491642.73000000004</v>
      </c>
      <c r="T2" s="5">
        <v>1456719.28</v>
      </c>
      <c r="U2" s="6"/>
      <c r="V2" s="42">
        <v>1477.98</v>
      </c>
      <c r="W2" s="10">
        <v>1042</v>
      </c>
    </row>
    <row r="3" spans="1:96" s="4" customFormat="1" ht="15" customHeight="1" x14ac:dyDescent="0.25">
      <c r="U3" s="41"/>
    </row>
    <row r="4" spans="1:96" s="4" customFormat="1" ht="15" customHeight="1" x14ac:dyDescent="0.25">
      <c r="A4" s="75" t="s">
        <v>46</v>
      </c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</row>
    <row r="5" spans="1:96" s="44" customFormat="1" ht="15" customHeight="1" x14ac:dyDescent="0.25"/>
    <row r="6" spans="1:96" ht="15" customHeight="1" x14ac:dyDescent="0.25">
      <c r="A6" s="8" t="s">
        <v>48</v>
      </c>
      <c r="B6" s="9">
        <v>11563711.449999999</v>
      </c>
      <c r="C6" s="9">
        <v>10288945.710000001</v>
      </c>
      <c r="D6" s="9">
        <v>175068</v>
      </c>
      <c r="E6" s="9">
        <f t="shared" ref="E6" si="0">B6-C6-D6</f>
        <v>1099697.7399999984</v>
      </c>
      <c r="F6" s="9">
        <f>ROUND(E6*0.04,2)-0.01</f>
        <v>43987.9</v>
      </c>
      <c r="G6" s="9">
        <f t="shared" ref="G6" si="1">ROUND(E6*0,2)</f>
        <v>0</v>
      </c>
      <c r="H6" s="9">
        <f t="shared" ref="H6" si="2">E6-F6-G6</f>
        <v>1055709.8399999985</v>
      </c>
      <c r="I6" s="9">
        <f t="shared" ref="I6" si="3">ROUND(H6*0,2)</f>
        <v>0</v>
      </c>
      <c r="J6" s="9">
        <f t="shared" ref="J6" si="4">ROUND((I6*0.58)+((I6*0.42)*0.1),2)</f>
        <v>0</v>
      </c>
      <c r="K6" s="9">
        <f t="shared" ref="K6" si="5">ROUND((I6*0.42)*0.9,2)</f>
        <v>0</v>
      </c>
      <c r="L6" s="9">
        <f t="shared" ref="L6" si="6">IF(J6+K6=I6,H6-I6,"ERROR")</f>
        <v>1055709.8399999985</v>
      </c>
      <c r="M6" s="9">
        <f t="shared" ref="M6" si="7">ROUND(L6*0.465,2)</f>
        <v>490905.08</v>
      </c>
      <c r="N6" s="9">
        <f>ROUND(L6*0.3,2)-0.01</f>
        <v>316712.94</v>
      </c>
      <c r="O6" s="9">
        <f>ROUND(L6*0.1285,2)+0.01</f>
        <v>135658.72</v>
      </c>
      <c r="P6" s="9">
        <f t="shared" ref="P6" si="8">ROUND((L6*0.07)*0.9,2)</f>
        <v>66509.72</v>
      </c>
      <c r="Q6" s="9">
        <f>ROUND(L6*0.01,2)</f>
        <v>10557.1</v>
      </c>
      <c r="R6" s="9">
        <f t="shared" ref="R6" si="9">ROUND((L6*0.0075)*0.9,2)</f>
        <v>7126.04</v>
      </c>
      <c r="S6" s="9">
        <f t="shared" ref="S6" si="10">ROUND((L6*0.0075)*0.9,2)</f>
        <v>7126.04</v>
      </c>
      <c r="T6" s="9">
        <f>ROUND(L6*0.02,2)</f>
        <v>21114.2</v>
      </c>
      <c r="U6" s="9"/>
      <c r="V6" s="42">
        <f t="shared" ref="V6" si="11">E6/W6</f>
        <v>2147.8471484374968</v>
      </c>
      <c r="W6" s="10">
        <v>512</v>
      </c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</row>
    <row r="7" spans="1:96" ht="15" customHeight="1" x14ac:dyDescent="0.25">
      <c r="A7" s="68" t="s">
        <v>50</v>
      </c>
      <c r="B7" s="9">
        <v>15978648.09</v>
      </c>
      <c r="C7" s="9">
        <v>14135264.699999999</v>
      </c>
      <c r="D7" s="9">
        <v>283786</v>
      </c>
      <c r="E7" s="9">
        <f t="shared" ref="E7" si="12">B7-C7-D7</f>
        <v>1559597.3900000006</v>
      </c>
      <c r="F7" s="9">
        <f>ROUND(E7*0.04,2)-0.02</f>
        <v>62383.880000000005</v>
      </c>
      <c r="G7" s="9">
        <f t="shared" ref="G7" si="13">ROUND(E7*0,2)</f>
        <v>0</v>
      </c>
      <c r="H7" s="9">
        <f t="shared" ref="H7" si="14">E7-F7-G7</f>
        <v>1497213.5100000007</v>
      </c>
      <c r="I7" s="9">
        <f t="shared" ref="I7" si="15">ROUND(H7*0,2)</f>
        <v>0</v>
      </c>
      <c r="J7" s="9">
        <f t="shared" ref="J7" si="16">ROUND((I7*0.58)+((I7*0.42)*0.1),2)</f>
        <v>0</v>
      </c>
      <c r="K7" s="9">
        <f t="shared" ref="K7" si="17">ROUND((I7*0.42)*0.9,2)</f>
        <v>0</v>
      </c>
      <c r="L7" s="9">
        <f t="shared" ref="L7" si="18">IF(J7+K7=I7,H7-I7,"ERROR")</f>
        <v>1497213.5100000007</v>
      </c>
      <c r="M7" s="9">
        <f t="shared" ref="M7" si="19">ROUND(L7*0.465,2)</f>
        <v>696204.28</v>
      </c>
      <c r="N7" s="9">
        <f>ROUND(L7*0.3,2)-0.03</f>
        <v>449164.01999999996</v>
      </c>
      <c r="O7" s="9">
        <f>ROUND(L7*0.1285,2)+0.02</f>
        <v>192391.96</v>
      </c>
      <c r="P7" s="9">
        <f t="shared" ref="P7" si="20">ROUND((L7*0.07)*0.9,2)</f>
        <v>94324.45</v>
      </c>
      <c r="Q7" s="9">
        <f>ROUND(L7*0.01,2)</f>
        <v>14972.14</v>
      </c>
      <c r="R7" s="9">
        <f t="shared" ref="R7" si="21">ROUND((L7*0.0075)*0.9,2)</f>
        <v>10106.19</v>
      </c>
      <c r="S7" s="9">
        <f t="shared" ref="S7" si="22">ROUND((L7*0.0075)*0.9,2)</f>
        <v>10106.19</v>
      </c>
      <c r="T7" s="9">
        <f>ROUND(L7*0.02,2)+0.01</f>
        <v>29944.28</v>
      </c>
      <c r="U7" s="9"/>
      <c r="V7" s="42">
        <f t="shared" ref="V7" si="23">E7/W7</f>
        <v>3034.2361673151763</v>
      </c>
      <c r="W7" s="10">
        <v>514</v>
      </c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</row>
    <row r="8" spans="1:96" ht="15" customHeight="1" x14ac:dyDescent="0.25">
      <c r="A8" s="68">
        <f t="shared" ref="A8:A57" si="24">A7+7</f>
        <v>44030</v>
      </c>
      <c r="B8" s="9">
        <v>12959407.76</v>
      </c>
      <c r="C8" s="9">
        <v>11571063.66</v>
      </c>
      <c r="D8" s="9">
        <v>251800</v>
      </c>
      <c r="E8" s="9">
        <f t="shared" ref="E8" si="25">B8-C8-D8</f>
        <v>1136544.0999999996</v>
      </c>
      <c r="F8" s="9">
        <f>ROUND(E8*0.04,2)+0.01</f>
        <v>45461.770000000004</v>
      </c>
      <c r="G8" s="9">
        <f t="shared" ref="G8" si="26">ROUND(E8*0,2)</f>
        <v>0</v>
      </c>
      <c r="H8" s="9">
        <f t="shared" ref="H8" si="27">E8-F8-G8</f>
        <v>1091082.3299999996</v>
      </c>
      <c r="I8" s="9">
        <f t="shared" ref="I8" si="28">ROUND(H8*0,2)</f>
        <v>0</v>
      </c>
      <c r="J8" s="9">
        <f t="shared" ref="J8" si="29">ROUND((I8*0.58)+((I8*0.42)*0.1),2)</f>
        <v>0</v>
      </c>
      <c r="K8" s="9">
        <f t="shared" ref="K8" si="30">ROUND((I8*0.42)*0.9,2)</f>
        <v>0</v>
      </c>
      <c r="L8" s="69">
        <f t="shared" ref="L8" si="31">IF(J8+K8=I8,H8-I8,"ERROR")</f>
        <v>1091082.3299999996</v>
      </c>
      <c r="M8" s="9">
        <f t="shared" ref="M8" si="32">ROUND(L8*0.465,2)</f>
        <v>507353.28</v>
      </c>
      <c r="N8" s="9">
        <f>ROUND(L8*0.3,2)+0.02</f>
        <v>327324.72000000003</v>
      </c>
      <c r="O8" s="9">
        <f>ROUND(L8*0.1285,2)-0.02</f>
        <v>140204.06</v>
      </c>
      <c r="P8" s="9">
        <f t="shared" ref="P8" si="33">ROUND((L8*0.07)*0.9,2)</f>
        <v>68738.19</v>
      </c>
      <c r="Q8" s="9">
        <f>ROUND(L8*0.01,2)</f>
        <v>10910.82</v>
      </c>
      <c r="R8" s="9">
        <f t="shared" ref="R8" si="34">ROUND((L8*0.0075)*0.9,2)</f>
        <v>7364.81</v>
      </c>
      <c r="S8" s="9">
        <f t="shared" ref="S8" si="35">ROUND((L8*0.0075)*0.9,2)</f>
        <v>7364.81</v>
      </c>
      <c r="T8" s="9">
        <f>ROUND(L8*0.02,2)-0.01</f>
        <v>21821.640000000003</v>
      </c>
      <c r="U8" s="9"/>
      <c r="V8" s="42">
        <f t="shared" ref="V8" si="36">E8/W8</f>
        <v>2206.8817475728147</v>
      </c>
      <c r="W8" s="10">
        <v>515</v>
      </c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</row>
    <row r="9" spans="1:96" ht="15" customHeight="1" x14ac:dyDescent="0.25">
      <c r="A9" s="68">
        <f t="shared" si="24"/>
        <v>44037</v>
      </c>
      <c r="B9" s="9">
        <v>13869268.220000001</v>
      </c>
      <c r="C9" s="9">
        <v>12339184.810000001</v>
      </c>
      <c r="D9" s="9">
        <v>261946</v>
      </c>
      <c r="E9" s="9">
        <f t="shared" ref="E9" si="37">B9-C9-D9</f>
        <v>1268137.4100000001</v>
      </c>
      <c r="F9" s="9">
        <f>ROUND(E9*0.04,2)</f>
        <v>50725.5</v>
      </c>
      <c r="G9" s="9">
        <f t="shared" ref="G9" si="38">ROUND(E9*0,2)</f>
        <v>0</v>
      </c>
      <c r="H9" s="9">
        <f t="shared" ref="H9" si="39">E9-F9-G9</f>
        <v>1217411.9100000001</v>
      </c>
      <c r="I9" s="9">
        <f t="shared" ref="I9" si="40">ROUND(H9*0,2)</f>
        <v>0</v>
      </c>
      <c r="J9" s="9">
        <f t="shared" ref="J9" si="41">ROUND((I9*0.58)+((I9*0.42)*0.1),2)</f>
        <v>0</v>
      </c>
      <c r="K9" s="9">
        <f t="shared" ref="K9" si="42">ROUND((I9*0.42)*0.9,2)</f>
        <v>0</v>
      </c>
      <c r="L9" s="69">
        <f t="shared" ref="L9" si="43">IF(J9+K9=I9,H9-I9,"ERROR")</f>
        <v>1217411.9100000001</v>
      </c>
      <c r="M9" s="9">
        <f t="shared" ref="M9" si="44">ROUND(L9*0.465,2)</f>
        <v>566096.54</v>
      </c>
      <c r="N9" s="9">
        <f>ROUND(L9*0.3,2)+0.01</f>
        <v>365223.58</v>
      </c>
      <c r="O9" s="9">
        <f>ROUND(L9*0.1285,2)-0.01</f>
        <v>156437.41999999998</v>
      </c>
      <c r="P9" s="9">
        <f t="shared" ref="P9" si="45">ROUND((L9*0.07)*0.9,2)</f>
        <v>76696.95</v>
      </c>
      <c r="Q9" s="9">
        <f>ROUND(L9*0.01,2)</f>
        <v>12174.12</v>
      </c>
      <c r="R9" s="9">
        <f t="shared" ref="R9" si="46">ROUND((L9*0.0075)*0.9,2)</f>
        <v>8217.5300000000007</v>
      </c>
      <c r="S9" s="9">
        <f t="shared" ref="S9" si="47">ROUND((L9*0.0075)*0.9,2)</f>
        <v>8217.5300000000007</v>
      </c>
      <c r="T9" s="9">
        <f>ROUND(L9*0.02,2)</f>
        <v>24348.240000000002</v>
      </c>
      <c r="U9" s="9"/>
      <c r="V9" s="42">
        <f t="shared" ref="V9" si="48">E9/W9</f>
        <v>2457.6306395348838</v>
      </c>
      <c r="W9" s="10">
        <v>516</v>
      </c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</row>
    <row r="10" spans="1:96" ht="15" customHeight="1" x14ac:dyDescent="0.25">
      <c r="A10" s="68">
        <f t="shared" si="24"/>
        <v>44044</v>
      </c>
      <c r="B10" s="9">
        <v>13795461.939999999</v>
      </c>
      <c r="C10" s="9">
        <v>12388178.32</v>
      </c>
      <c r="D10" s="9">
        <v>223175</v>
      </c>
      <c r="E10" s="9">
        <f t="shared" ref="E10" si="49">B10-C10-D10</f>
        <v>1184108.6199999992</v>
      </c>
      <c r="F10" s="9">
        <f>ROUND(E10*0.04,2)</f>
        <v>47364.34</v>
      </c>
      <c r="G10" s="9">
        <f t="shared" ref="G10" si="50">ROUND(E10*0,2)</f>
        <v>0</v>
      </c>
      <c r="H10" s="9">
        <f t="shared" ref="H10" si="51">E10-F10-G10</f>
        <v>1136744.2799999991</v>
      </c>
      <c r="I10" s="9">
        <f t="shared" ref="I10" si="52">ROUND(H10*0,2)</f>
        <v>0</v>
      </c>
      <c r="J10" s="9">
        <f t="shared" ref="J10" si="53">ROUND((I10*0.58)+((I10*0.42)*0.1),2)</f>
        <v>0</v>
      </c>
      <c r="K10" s="9">
        <f t="shared" ref="K10" si="54">ROUND((I10*0.42)*0.9,2)</f>
        <v>0</v>
      </c>
      <c r="L10" s="69">
        <f t="shared" ref="L10" si="55">IF(J10+K10=I10,H10-I10,"ERROR")</f>
        <v>1136744.2799999991</v>
      </c>
      <c r="M10" s="9">
        <f t="shared" ref="M10" si="56">ROUND(L10*0.465,2)</f>
        <v>528586.09</v>
      </c>
      <c r="N10" s="9">
        <f>ROUND(L10*0.3,2)+0.02</f>
        <v>341023.30000000005</v>
      </c>
      <c r="O10" s="9">
        <f>ROUND(L10*0.1285,2)</f>
        <v>146071.64000000001</v>
      </c>
      <c r="P10" s="9">
        <f t="shared" ref="P10" si="57">ROUND((L10*0.07)*0.9,2)</f>
        <v>71614.89</v>
      </c>
      <c r="Q10" s="9">
        <f>ROUND(L10*0.01,2)</f>
        <v>11367.44</v>
      </c>
      <c r="R10" s="9">
        <f t="shared" ref="R10" si="58">ROUND((L10*0.0075)*0.9,2)</f>
        <v>7673.02</v>
      </c>
      <c r="S10" s="9">
        <f t="shared" ref="S10" si="59">ROUND((L10*0.0075)*0.9,2)</f>
        <v>7673.02</v>
      </c>
      <c r="T10" s="9">
        <f>ROUND(L10*0.02,2)-0.01</f>
        <v>22734.880000000001</v>
      </c>
      <c r="U10" s="9"/>
      <c r="V10" s="42">
        <f t="shared" ref="V10" si="60">E10/W10</f>
        <v>2238.3905860113405</v>
      </c>
      <c r="W10" s="10">
        <v>529</v>
      </c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</row>
    <row r="11" spans="1:96" ht="15" customHeight="1" x14ac:dyDescent="0.25">
      <c r="A11" s="68">
        <f t="shared" si="24"/>
        <v>44051</v>
      </c>
      <c r="B11" s="9">
        <v>16265817.98</v>
      </c>
      <c r="C11" s="9">
        <v>14467389.74</v>
      </c>
      <c r="D11" s="9">
        <v>338636</v>
      </c>
      <c r="E11" s="9">
        <f t="shared" ref="E11" si="61">B11-C11-D11</f>
        <v>1459792.2400000002</v>
      </c>
      <c r="F11" s="9">
        <f>ROUND(E11*0.04,2)-0.02</f>
        <v>58391.670000000006</v>
      </c>
      <c r="G11" s="9">
        <f t="shared" ref="G11" si="62">ROUND(E11*0,2)</f>
        <v>0</v>
      </c>
      <c r="H11" s="9">
        <f t="shared" ref="H11" si="63">E11-F11-G11</f>
        <v>1401400.5700000003</v>
      </c>
      <c r="I11" s="9">
        <f t="shared" ref="I11" si="64">ROUND(H11*0,2)</f>
        <v>0</v>
      </c>
      <c r="J11" s="9">
        <f t="shared" ref="J11" si="65">ROUND((I11*0.58)+((I11*0.42)*0.1),2)</f>
        <v>0</v>
      </c>
      <c r="K11" s="9">
        <f t="shared" ref="K11" si="66">ROUND((I11*0.42)*0.9,2)</f>
        <v>0</v>
      </c>
      <c r="L11" s="69">
        <f t="shared" ref="L11" si="67">IF(J11+K11=I11,H11-I11,"ERROR")</f>
        <v>1401400.5700000003</v>
      </c>
      <c r="M11" s="9">
        <f t="shared" ref="M11" si="68">ROUND(L11*0.465,2)</f>
        <v>651651.27</v>
      </c>
      <c r="N11" s="9">
        <f>ROUND(L11*0.3,2)+0.03</f>
        <v>420420.2</v>
      </c>
      <c r="O11" s="9">
        <f>ROUND(L11*0.1285,2)-0.01</f>
        <v>180079.96</v>
      </c>
      <c r="P11" s="9">
        <f t="shared" ref="P11" si="69">ROUND((L11*0.07)*0.9,2)</f>
        <v>88288.24</v>
      </c>
      <c r="Q11" s="9">
        <f>ROUND(L11*0.01,2)-0.01</f>
        <v>14014</v>
      </c>
      <c r="R11" s="9">
        <f t="shared" ref="R11" si="70">ROUND((L11*0.0075)*0.9,2)</f>
        <v>9459.4500000000007</v>
      </c>
      <c r="S11" s="9">
        <f t="shared" ref="S11" si="71">ROUND((L11*0.0075)*0.9,2)</f>
        <v>9459.4500000000007</v>
      </c>
      <c r="T11" s="9">
        <f>ROUND(L11*0.02,2)-0.01</f>
        <v>28028</v>
      </c>
      <c r="U11" s="9"/>
      <c r="V11" s="42">
        <f t="shared" ref="V11" si="72">E11/W11</f>
        <v>2635.0040433212998</v>
      </c>
      <c r="W11" s="10">
        <v>554</v>
      </c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</row>
    <row r="12" spans="1:96" ht="15" customHeight="1" x14ac:dyDescent="0.25">
      <c r="A12" s="68">
        <f t="shared" si="24"/>
        <v>44058</v>
      </c>
      <c r="B12" s="9">
        <v>16952483.850000001</v>
      </c>
      <c r="C12" s="9">
        <v>15045183.16</v>
      </c>
      <c r="D12" s="9">
        <v>342365</v>
      </c>
      <c r="E12" s="9">
        <f t="shared" ref="E12" si="73">B12-C12-D12</f>
        <v>1564935.6900000013</v>
      </c>
      <c r="F12" s="9">
        <f>ROUND(E12*0.04,2)+0.01</f>
        <v>62597.440000000002</v>
      </c>
      <c r="G12" s="9">
        <f t="shared" ref="G12" si="74">ROUND(E12*0,2)</f>
        <v>0</v>
      </c>
      <c r="H12" s="9">
        <f t="shared" ref="H12" si="75">E12-F12-G12</f>
        <v>1502338.2500000014</v>
      </c>
      <c r="I12" s="9">
        <f t="shared" ref="I12" si="76">ROUND(H12*0,2)</f>
        <v>0</v>
      </c>
      <c r="J12" s="9">
        <f t="shared" ref="J12" si="77">ROUND((I12*0.58)+((I12*0.42)*0.1),2)</f>
        <v>0</v>
      </c>
      <c r="K12" s="9">
        <f t="shared" ref="K12" si="78">ROUND((I12*0.42)*0.9,2)</f>
        <v>0</v>
      </c>
      <c r="L12" s="69">
        <f t="shared" ref="L12" si="79">IF(J12+K12=I12,H12-I12,"ERROR")</f>
        <v>1502338.2500000014</v>
      </c>
      <c r="M12" s="9">
        <f t="shared" ref="M12" si="80">ROUND(L12*0.465,2)</f>
        <v>698587.29</v>
      </c>
      <c r="N12" s="9">
        <f>ROUND(L12*0.3,2)-0.01</f>
        <v>450701.47</v>
      </c>
      <c r="O12" s="9">
        <f>ROUND(L12*0.1285,2)+0.01</f>
        <v>193050.48</v>
      </c>
      <c r="P12" s="9">
        <f t="shared" ref="P12" si="81">ROUND((L12*0.07)*0.9,2)</f>
        <v>94647.31</v>
      </c>
      <c r="Q12" s="9">
        <f>ROUND(L12*0.01,2)</f>
        <v>15023.38</v>
      </c>
      <c r="R12" s="9">
        <f t="shared" ref="R12" si="82">ROUND((L12*0.0075)*0.9,2)</f>
        <v>10140.780000000001</v>
      </c>
      <c r="S12" s="9">
        <f t="shared" ref="S12" si="83">ROUND((L12*0.0075)*0.9,2)</f>
        <v>10140.780000000001</v>
      </c>
      <c r="T12" s="9">
        <f>ROUND(L12*0.02,2)-0.01</f>
        <v>30046.760000000002</v>
      </c>
      <c r="U12" s="9"/>
      <c r="V12" s="42">
        <f t="shared" ref="V12" si="84">E12/W12</f>
        <v>2735.9015559440581</v>
      </c>
      <c r="W12" s="10">
        <v>572</v>
      </c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</row>
    <row r="13" spans="1:96" ht="15" customHeight="1" x14ac:dyDescent="0.25">
      <c r="A13" s="68">
        <f t="shared" si="24"/>
        <v>44065</v>
      </c>
      <c r="B13" s="9">
        <v>16929151.07</v>
      </c>
      <c r="C13" s="9">
        <v>15121476.710000001</v>
      </c>
      <c r="D13" s="9">
        <v>332634</v>
      </c>
      <c r="E13" s="9">
        <f t="shared" ref="E13" si="85">B13-C13-D13</f>
        <v>1475040.3599999994</v>
      </c>
      <c r="F13" s="9">
        <f>ROUND(E13*0.04,2)</f>
        <v>59001.61</v>
      </c>
      <c r="G13" s="9">
        <f t="shared" ref="G13" si="86">ROUND(E13*0,2)</f>
        <v>0</v>
      </c>
      <c r="H13" s="9">
        <f t="shared" ref="H13" si="87">E13-F13-G13</f>
        <v>1416038.7499999993</v>
      </c>
      <c r="I13" s="9">
        <f t="shared" ref="I13" si="88">ROUND(H13*0,2)</f>
        <v>0</v>
      </c>
      <c r="J13" s="9">
        <f t="shared" ref="J13" si="89">ROUND((I13*0.58)+((I13*0.42)*0.1),2)</f>
        <v>0</v>
      </c>
      <c r="K13" s="9">
        <f t="shared" ref="K13" si="90">ROUND((I13*0.42)*0.9,2)</f>
        <v>0</v>
      </c>
      <c r="L13" s="69">
        <f t="shared" ref="L13" si="91">IF(J13+K13=I13,H13-I13,"ERROR")</f>
        <v>1416038.7499999993</v>
      </c>
      <c r="M13" s="9">
        <f t="shared" ref="M13" si="92">ROUND(L13*0.465,2)</f>
        <v>658458.02</v>
      </c>
      <c r="N13" s="9">
        <f>ROUND(L13*0.3,2)+0.04</f>
        <v>424811.67</v>
      </c>
      <c r="O13" s="9">
        <f>ROUND(L13*0.1285,2)-0.02</f>
        <v>181960.96000000002</v>
      </c>
      <c r="P13" s="9">
        <f t="shared" ref="P13" si="93">ROUND((L13*0.07)*0.9,2)</f>
        <v>89210.44</v>
      </c>
      <c r="Q13" s="9">
        <f>ROUND(L13*0.01,2)-0.01</f>
        <v>14160.38</v>
      </c>
      <c r="R13" s="9">
        <f t="shared" ref="R13" si="94">ROUND((L13*0.0075)*0.9,2)</f>
        <v>9558.26</v>
      </c>
      <c r="S13" s="9">
        <f t="shared" ref="S13" si="95">ROUND((L13*0.0075)*0.9,2)</f>
        <v>9558.26</v>
      </c>
      <c r="T13" s="9">
        <f>ROUND(L13*0.02,2)-0.02</f>
        <v>28320.76</v>
      </c>
      <c r="U13" s="9"/>
      <c r="V13" s="42">
        <f t="shared" ref="V13" si="96">E13/W13</f>
        <v>2122.3602302158265</v>
      </c>
      <c r="W13" s="10">
        <v>695</v>
      </c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</row>
    <row r="14" spans="1:96" ht="15" customHeight="1" x14ac:dyDescent="0.25">
      <c r="A14" s="68">
        <f t="shared" si="24"/>
        <v>44072</v>
      </c>
      <c r="B14" s="9">
        <v>17154226.239999998</v>
      </c>
      <c r="C14" s="9">
        <v>15223163.449999999</v>
      </c>
      <c r="D14" s="9">
        <v>338655</v>
      </c>
      <c r="E14" s="9">
        <f t="shared" ref="E14" si="97">B14-C14-D14</f>
        <v>1592407.7899999991</v>
      </c>
      <c r="F14" s="9">
        <f>ROUND(E14*0.04,2)+0.02</f>
        <v>63696.329999999994</v>
      </c>
      <c r="G14" s="9">
        <f t="shared" ref="G14" si="98">ROUND(E14*0,2)</f>
        <v>0</v>
      </c>
      <c r="H14" s="9">
        <f t="shared" ref="H14" si="99">E14-F14-G14</f>
        <v>1528711.459999999</v>
      </c>
      <c r="I14" s="9">
        <f t="shared" ref="I14" si="100">ROUND(H14*0,2)</f>
        <v>0</v>
      </c>
      <c r="J14" s="9">
        <f t="shared" ref="J14" si="101">ROUND((I14*0.58)+((I14*0.42)*0.1),2)</f>
        <v>0</v>
      </c>
      <c r="K14" s="9">
        <f t="shared" ref="K14" si="102">ROUND((I14*0.42)*0.9,2)</f>
        <v>0</v>
      </c>
      <c r="L14" s="69">
        <f t="shared" ref="L14" si="103">IF(J14+K14=I14,H14-I14,"ERROR")</f>
        <v>1528711.459999999</v>
      </c>
      <c r="M14" s="9">
        <f t="shared" ref="M14" si="104">ROUND(L14*0.465,2)</f>
        <v>710850.83</v>
      </c>
      <c r="N14" s="9">
        <f>ROUND(L14*0.3,2)-0.03</f>
        <v>458613.41</v>
      </c>
      <c r="O14" s="9">
        <f>ROUND(L14*0.1285,2)+0.02</f>
        <v>196439.44</v>
      </c>
      <c r="P14" s="9">
        <f t="shared" ref="P14" si="105">ROUND((L14*0.07)*0.9,2)</f>
        <v>96308.82</v>
      </c>
      <c r="Q14" s="9">
        <f>ROUND(L14*0.01,2)+0.01</f>
        <v>15287.12</v>
      </c>
      <c r="R14" s="9">
        <f t="shared" ref="R14" si="106">ROUND((L14*0.0075)*0.9,2)</f>
        <v>10318.799999999999</v>
      </c>
      <c r="S14" s="9">
        <f t="shared" ref="S14" si="107">ROUND((L14*0.0075)*0.9,2)</f>
        <v>10318.799999999999</v>
      </c>
      <c r="T14" s="9">
        <f>ROUND(L14*0.02,2)+0.01</f>
        <v>30574.239999999998</v>
      </c>
      <c r="U14" s="9"/>
      <c r="V14" s="42">
        <f t="shared" ref="V14" si="108">E14/W14</f>
        <v>1911.6540096038404</v>
      </c>
      <c r="W14" s="10">
        <v>833</v>
      </c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</row>
    <row r="15" spans="1:96" ht="15" customHeight="1" x14ac:dyDescent="0.25">
      <c r="A15" s="68">
        <f t="shared" si="24"/>
        <v>44079</v>
      </c>
      <c r="B15" s="9">
        <v>16675255.43</v>
      </c>
      <c r="C15" s="9">
        <v>14755830.560000001</v>
      </c>
      <c r="D15" s="9">
        <v>323621</v>
      </c>
      <c r="E15" s="9">
        <f t="shared" ref="E15" si="109">B15-C15-D15</f>
        <v>1595803.8699999992</v>
      </c>
      <c r="F15" s="9">
        <f>ROUND(E15*0.04,2)</f>
        <v>63832.15</v>
      </c>
      <c r="G15" s="9">
        <f t="shared" ref="G15" si="110">ROUND(E15*0,2)</f>
        <v>0</v>
      </c>
      <c r="H15" s="9">
        <f t="shared" ref="H15" si="111">E15-F15-G15</f>
        <v>1531971.7199999993</v>
      </c>
      <c r="I15" s="9">
        <f t="shared" ref="I15" si="112">ROUND(H15*0,2)</f>
        <v>0</v>
      </c>
      <c r="J15" s="9">
        <f t="shared" ref="J15" si="113">ROUND((I15*0.58)+((I15*0.42)*0.1),2)</f>
        <v>0</v>
      </c>
      <c r="K15" s="9">
        <f t="shared" ref="K15" si="114">ROUND((I15*0.42)*0.9,2)</f>
        <v>0</v>
      </c>
      <c r="L15" s="69">
        <f t="shared" ref="L15" si="115">IF(J15+K15=I15,H15-I15,"ERROR")</f>
        <v>1531971.7199999993</v>
      </c>
      <c r="M15" s="9">
        <f t="shared" ref="M15" si="116">ROUND(L15*0.465,2)</f>
        <v>712366.85</v>
      </c>
      <c r="N15" s="9">
        <f>ROUND(L15*0.3,2)-0.02</f>
        <v>459591.5</v>
      </c>
      <c r="O15" s="9">
        <f>ROUND(L15*0.1285,2)</f>
        <v>196858.37</v>
      </c>
      <c r="P15" s="9">
        <f t="shared" ref="P15" si="117">ROUND((L15*0.07)*0.9,2)</f>
        <v>96514.22</v>
      </c>
      <c r="Q15" s="9">
        <f>ROUND(L15*0.01,2)</f>
        <v>15319.72</v>
      </c>
      <c r="R15" s="9">
        <f t="shared" ref="R15" si="118">ROUND((L15*0.0075)*0.9,2)</f>
        <v>10340.81</v>
      </c>
      <c r="S15" s="9">
        <f t="shared" ref="S15" si="119">ROUND((L15*0.0075)*0.9,2)</f>
        <v>10340.81</v>
      </c>
      <c r="T15" s="9">
        <f>ROUND(L15*0.02,2)+0.01</f>
        <v>30639.439999999999</v>
      </c>
      <c r="U15" s="9"/>
      <c r="V15" s="42">
        <f t="shared" ref="V15" si="120">E15/W15</f>
        <v>1779.045562987736</v>
      </c>
      <c r="W15" s="10">
        <v>897</v>
      </c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</row>
    <row r="16" spans="1:96" ht="15" customHeight="1" x14ac:dyDescent="0.25">
      <c r="A16" s="68">
        <f t="shared" si="24"/>
        <v>44086</v>
      </c>
      <c r="B16" s="9">
        <v>17667144.25</v>
      </c>
      <c r="C16" s="9">
        <v>15680310.720000001</v>
      </c>
      <c r="D16" s="9">
        <v>332670</v>
      </c>
      <c r="E16" s="9">
        <f t="shared" ref="E16" si="121">B16-C16-D16</f>
        <v>1654163.5299999993</v>
      </c>
      <c r="F16" s="9">
        <f>ROUND(E16*0.04,2)-0.01</f>
        <v>66166.53</v>
      </c>
      <c r="G16" s="9">
        <f t="shared" ref="G16" si="122">ROUND(E16*0,2)</f>
        <v>0</v>
      </c>
      <c r="H16" s="9">
        <f t="shared" ref="H16" si="123">E16-F16-G16</f>
        <v>1587996.9999999993</v>
      </c>
      <c r="I16" s="9">
        <f t="shared" ref="I16" si="124">ROUND(H16*0,2)</f>
        <v>0</v>
      </c>
      <c r="J16" s="9">
        <f t="shared" ref="J16" si="125">ROUND((I16*0.58)+((I16*0.42)*0.1),2)</f>
        <v>0</v>
      </c>
      <c r="K16" s="9">
        <f t="shared" ref="K16" si="126">ROUND((I16*0.42)*0.9,2)</f>
        <v>0</v>
      </c>
      <c r="L16" s="69">
        <f t="shared" ref="L16" si="127">IF(J16+K16=I16,H16-I16,"ERROR")</f>
        <v>1587996.9999999993</v>
      </c>
      <c r="M16" s="9">
        <f t="shared" ref="M16" si="128">ROUND(L16*0.465,2)</f>
        <v>738418.61</v>
      </c>
      <c r="N16" s="9">
        <f>ROUND(L16*0.3,2)-0.07</f>
        <v>476399.02999999997</v>
      </c>
      <c r="O16" s="9">
        <f>ROUND(L16*0.1285,2)+0.04</f>
        <v>204057.65</v>
      </c>
      <c r="P16" s="9">
        <f t="shared" ref="P16" si="129">ROUND((L16*0.07)*0.9,2)</f>
        <v>100043.81</v>
      </c>
      <c r="Q16" s="9">
        <f>ROUND(L16*0.01,2)+0.01</f>
        <v>15879.98</v>
      </c>
      <c r="R16" s="9">
        <f t="shared" ref="R16" si="130">ROUND((L16*0.0075)*0.9,2)</f>
        <v>10718.98</v>
      </c>
      <c r="S16" s="9">
        <f t="shared" ref="S16" si="131">ROUND((L16*0.0075)*0.9,2)</f>
        <v>10718.98</v>
      </c>
      <c r="T16" s="9">
        <f>ROUND(L16*0.02,2)+0.02</f>
        <v>31759.96</v>
      </c>
      <c r="U16" s="9"/>
      <c r="V16" s="42">
        <f t="shared" ref="V16" si="132">E16/W16</f>
        <v>1750.4375978835972</v>
      </c>
      <c r="W16" s="10">
        <v>945</v>
      </c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</row>
    <row r="17" spans="1:96" ht="15" customHeight="1" x14ac:dyDescent="0.25">
      <c r="A17" s="68">
        <f t="shared" si="24"/>
        <v>44093</v>
      </c>
      <c r="B17" s="9">
        <v>16336095.27</v>
      </c>
      <c r="C17" s="9">
        <v>14442491.24</v>
      </c>
      <c r="D17" s="9">
        <v>294655</v>
      </c>
      <c r="E17" s="9">
        <f t="shared" ref="E17" si="133">B17-C17-D17</f>
        <v>1598949.0299999993</v>
      </c>
      <c r="F17" s="9">
        <f>ROUND(E17*0.04,2)-0.01</f>
        <v>63957.95</v>
      </c>
      <c r="G17" s="9">
        <f t="shared" ref="G17" si="134">ROUND(E17*0,2)</f>
        <v>0</v>
      </c>
      <c r="H17" s="9">
        <f t="shared" ref="H17" si="135">E17-F17-G17</f>
        <v>1534991.0799999994</v>
      </c>
      <c r="I17" s="9">
        <f t="shared" ref="I17" si="136">ROUND(H17*0,2)</f>
        <v>0</v>
      </c>
      <c r="J17" s="9">
        <f t="shared" ref="J17" si="137">ROUND((I17*0.58)+((I17*0.42)*0.1),2)</f>
        <v>0</v>
      </c>
      <c r="K17" s="9">
        <f t="shared" ref="K17" si="138">ROUND((I17*0.42)*0.9,2)</f>
        <v>0</v>
      </c>
      <c r="L17" s="69">
        <f t="shared" ref="L17" si="139">IF(J17+K17=I17,H17-I17,"ERROR")</f>
        <v>1534991.0799999994</v>
      </c>
      <c r="M17" s="9">
        <f t="shared" ref="M17" si="140">ROUND(L17*0.465,2)</f>
        <v>713770.85</v>
      </c>
      <c r="N17" s="9">
        <f>ROUND(L17*0.3,2)-0.05</f>
        <v>460497.27</v>
      </c>
      <c r="O17" s="9">
        <f>ROUND(L17*0.1285,2)+0.03</f>
        <v>197246.38</v>
      </c>
      <c r="P17" s="9">
        <f t="shared" ref="P17" si="141">ROUND((L17*0.07)*0.9,2)</f>
        <v>96704.44</v>
      </c>
      <c r="Q17" s="9">
        <f>ROUND(L17*0.01,2)+0.01</f>
        <v>15349.92</v>
      </c>
      <c r="R17" s="9">
        <f t="shared" ref="R17" si="142">ROUND((L17*0.0075)*0.9,2)</f>
        <v>10361.19</v>
      </c>
      <c r="S17" s="9">
        <f t="shared" ref="S17" si="143">ROUND((L17*0.0075)*0.9,2)</f>
        <v>10361.19</v>
      </c>
      <c r="T17" s="9">
        <f>ROUND(L17*0.02,2)+0.02</f>
        <v>30699.84</v>
      </c>
      <c r="U17" s="9"/>
      <c r="V17" s="42">
        <f t="shared" ref="V17" si="144">E17/W17</f>
        <v>1672.540826359832</v>
      </c>
      <c r="W17" s="10">
        <v>956</v>
      </c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</row>
    <row r="18" spans="1:96" ht="15" customHeight="1" x14ac:dyDescent="0.25">
      <c r="A18" s="68">
        <f t="shared" si="24"/>
        <v>44100</v>
      </c>
      <c r="B18" s="9">
        <v>16418222.66</v>
      </c>
      <c r="C18" s="9">
        <v>14496763.9</v>
      </c>
      <c r="D18" s="9">
        <v>308019</v>
      </c>
      <c r="E18" s="9">
        <f t="shared" ref="E18" si="145">B18-C18-D18</f>
        <v>1613439.7599999998</v>
      </c>
      <c r="F18" s="9">
        <f>ROUND(E18*0.04,2)-0.01</f>
        <v>64537.579999999994</v>
      </c>
      <c r="G18" s="9">
        <f t="shared" ref="G18" si="146">ROUND(E18*0,2)</f>
        <v>0</v>
      </c>
      <c r="H18" s="9">
        <f t="shared" ref="H18" si="147">E18-F18-G18</f>
        <v>1548902.1799999997</v>
      </c>
      <c r="I18" s="9">
        <f t="shared" ref="I18" si="148">ROUND(H18*0,2)</f>
        <v>0</v>
      </c>
      <c r="J18" s="9">
        <f t="shared" ref="J18" si="149">ROUND((I18*0.58)+((I18*0.42)*0.1),2)</f>
        <v>0</v>
      </c>
      <c r="K18" s="9">
        <f t="shared" ref="K18" si="150">ROUND((I18*0.42)*0.9,2)</f>
        <v>0</v>
      </c>
      <c r="L18" s="69">
        <f t="shared" ref="L18" si="151">IF(J18+K18=I18,H18-I18,"ERROR")</f>
        <v>1548902.1799999997</v>
      </c>
      <c r="M18" s="9">
        <f t="shared" ref="M18" si="152">ROUND(L18*0.465,2)</f>
        <v>720239.51</v>
      </c>
      <c r="N18" s="9">
        <f>ROUND(L18*0.3,2)+0.03</f>
        <v>464670.68000000005</v>
      </c>
      <c r="O18" s="9">
        <f>ROUND(L18*0.1285,2)-0.02</f>
        <v>199033.91</v>
      </c>
      <c r="P18" s="9">
        <f t="shared" ref="P18" si="153">ROUND((L18*0.07)*0.9,2)</f>
        <v>97580.84</v>
      </c>
      <c r="Q18" s="9">
        <f>ROUND(L18*0.01,2)</f>
        <v>15489.02</v>
      </c>
      <c r="R18" s="9">
        <f t="shared" ref="R18" si="154">ROUND((L18*0.0075)*0.9,2)</f>
        <v>10455.09</v>
      </c>
      <c r="S18" s="9">
        <f t="shared" ref="S18" si="155">ROUND((L18*0.0075)*0.9,2)</f>
        <v>10455.09</v>
      </c>
      <c r="T18" s="9">
        <f>ROUND(L18*0.02,2)</f>
        <v>30978.04</v>
      </c>
      <c r="U18" s="9"/>
      <c r="V18" s="42">
        <f t="shared" ref="V18" si="156">E18/W18</f>
        <v>1678.9175442247656</v>
      </c>
      <c r="W18" s="10">
        <v>961</v>
      </c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</row>
    <row r="19" spans="1:96" ht="15" customHeight="1" x14ac:dyDescent="0.25">
      <c r="A19" s="68">
        <f t="shared" si="24"/>
        <v>44107</v>
      </c>
      <c r="B19" s="9">
        <v>15974862.93</v>
      </c>
      <c r="C19" s="9">
        <v>14172265.57</v>
      </c>
      <c r="D19" s="9">
        <v>301035</v>
      </c>
      <c r="E19" s="9">
        <f t="shared" ref="E19" si="157">B19-C19-D19</f>
        <v>1501562.3599999994</v>
      </c>
      <c r="F19" s="9">
        <f>ROUND(E19*0.04,2)+0.01</f>
        <v>60062.5</v>
      </c>
      <c r="G19" s="9">
        <f t="shared" ref="G19" si="158">ROUND(E19*0,2)</f>
        <v>0</v>
      </c>
      <c r="H19" s="9">
        <f t="shared" ref="H19" si="159">E19-F19-G19</f>
        <v>1441499.8599999994</v>
      </c>
      <c r="I19" s="9">
        <f t="shared" ref="I19" si="160">ROUND(H19*0,2)</f>
        <v>0</v>
      </c>
      <c r="J19" s="9">
        <f t="shared" ref="J19" si="161">ROUND((I19*0.58)+((I19*0.42)*0.1),2)</f>
        <v>0</v>
      </c>
      <c r="K19" s="9">
        <f t="shared" ref="K19" si="162">ROUND((I19*0.42)*0.9,2)</f>
        <v>0</v>
      </c>
      <c r="L19" s="69">
        <f t="shared" ref="L19" si="163">IF(J19+K19=I19,H19-I19,"ERROR")</f>
        <v>1441499.8599999994</v>
      </c>
      <c r="M19" s="9">
        <f t="shared" ref="M19" si="164">ROUND(L19*0.465,2)</f>
        <v>670297.43000000005</v>
      </c>
      <c r="N19" s="9">
        <f>ROUND(L19*0.3,2)</f>
        <v>432449.96</v>
      </c>
      <c r="O19" s="9">
        <f>ROUND(L19*0.1285,2)+0.01</f>
        <v>185232.74000000002</v>
      </c>
      <c r="P19" s="9">
        <f t="shared" ref="P19" si="165">ROUND((L19*0.07)*0.9,2)</f>
        <v>90814.49</v>
      </c>
      <c r="Q19" s="9">
        <f>ROUND(L19*0.01,2)</f>
        <v>14415</v>
      </c>
      <c r="R19" s="9">
        <f t="shared" ref="R19" si="166">ROUND((L19*0.0075)*0.9,2)</f>
        <v>9730.1200000000008</v>
      </c>
      <c r="S19" s="9">
        <f t="shared" ref="S19" si="167">ROUND((L19*0.0075)*0.9,2)</f>
        <v>9730.1200000000008</v>
      </c>
      <c r="T19" s="9">
        <f>ROUND(L19*0.02,2)</f>
        <v>28830</v>
      </c>
      <c r="U19" s="9"/>
      <c r="V19" s="42">
        <f t="shared" ref="V19" si="168">E19/W19</f>
        <v>1541.6451334702253</v>
      </c>
      <c r="W19" s="10">
        <v>974</v>
      </c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</row>
    <row r="20" spans="1:96" ht="15" customHeight="1" x14ac:dyDescent="0.25">
      <c r="A20" s="68">
        <f t="shared" si="24"/>
        <v>44114</v>
      </c>
      <c r="B20" s="9">
        <v>15140624.92</v>
      </c>
      <c r="C20" s="9">
        <v>13471951.199999999</v>
      </c>
      <c r="D20" s="9">
        <v>241499</v>
      </c>
      <c r="E20" s="9">
        <f t="shared" ref="E20" si="169">B20-C20-D20</f>
        <v>1427174.7200000007</v>
      </c>
      <c r="F20" s="9">
        <f>ROUND(E20*0.04,2)+0.02</f>
        <v>57087.009999999995</v>
      </c>
      <c r="G20" s="9">
        <f t="shared" ref="G20" si="170">ROUND(E20*0,2)</f>
        <v>0</v>
      </c>
      <c r="H20" s="9">
        <f t="shared" ref="H20" si="171">E20-F20-G20</f>
        <v>1370087.7100000007</v>
      </c>
      <c r="I20" s="9">
        <f t="shared" ref="I20" si="172">ROUND(H20*0,2)</f>
        <v>0</v>
      </c>
      <c r="J20" s="9">
        <f t="shared" ref="J20" si="173">ROUND((I20*0.58)+((I20*0.42)*0.1),2)</f>
        <v>0</v>
      </c>
      <c r="K20" s="9">
        <f t="shared" ref="K20" si="174">ROUND((I20*0.42)*0.9,2)</f>
        <v>0</v>
      </c>
      <c r="L20" s="69">
        <f t="shared" ref="L20" si="175">IF(J20+K20=I20,H20-I20,"ERROR")</f>
        <v>1370087.7100000007</v>
      </c>
      <c r="M20" s="9">
        <f t="shared" ref="M20" si="176">ROUND(L20*0.465,2)</f>
        <v>637090.79</v>
      </c>
      <c r="N20" s="9">
        <f>ROUND(L20*0.3,2)-0.02</f>
        <v>411026.29</v>
      </c>
      <c r="O20" s="9">
        <f>ROUND(L20*0.1285,2)+0.01</f>
        <v>176056.28</v>
      </c>
      <c r="P20" s="9">
        <f t="shared" ref="P20" si="177">ROUND((L20*0.07)*0.9,2)</f>
        <v>86315.53</v>
      </c>
      <c r="Q20" s="9">
        <f>ROUND(L20*0.01,2)</f>
        <v>13700.88</v>
      </c>
      <c r="R20" s="9">
        <f t="shared" ref="R20" si="178">ROUND((L20*0.0075)*0.9,2)</f>
        <v>9248.09</v>
      </c>
      <c r="S20" s="9">
        <f t="shared" ref="S20" si="179">ROUND((L20*0.0075)*0.9,2)</f>
        <v>9248.09</v>
      </c>
      <c r="T20" s="9">
        <f>ROUND(L20*0.02,2)+0.01</f>
        <v>27401.759999999998</v>
      </c>
      <c r="U20" s="9"/>
      <c r="V20" s="42">
        <f t="shared" ref="V20" si="180">E20/W20</f>
        <v>1444.5088259109318</v>
      </c>
      <c r="W20" s="10">
        <v>988</v>
      </c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</row>
    <row r="21" spans="1:96" ht="15" customHeight="1" x14ac:dyDescent="0.25">
      <c r="A21" s="68">
        <f t="shared" si="24"/>
        <v>44121</v>
      </c>
      <c r="B21" s="9">
        <v>15975753.420000002</v>
      </c>
      <c r="C21" s="9">
        <v>14273224.85</v>
      </c>
      <c r="D21" s="9">
        <v>259830</v>
      </c>
      <c r="E21" s="9">
        <f t="shared" ref="E21" si="181">B21-C21-D21</f>
        <v>1442698.5700000022</v>
      </c>
      <c r="F21" s="9">
        <f>ROUND(E21*0.04,2)+0.01</f>
        <v>57707.950000000004</v>
      </c>
      <c r="G21" s="9">
        <f t="shared" ref="G21" si="182">ROUND(E21*0,2)</f>
        <v>0</v>
      </c>
      <c r="H21" s="9">
        <f t="shared" ref="H21" si="183">E21-F21-G21</f>
        <v>1384990.6200000022</v>
      </c>
      <c r="I21" s="9">
        <f t="shared" ref="I21" si="184">ROUND(H21*0,2)</f>
        <v>0</v>
      </c>
      <c r="J21" s="9">
        <f t="shared" ref="J21" si="185">ROUND((I21*0.58)+((I21*0.42)*0.1),2)</f>
        <v>0</v>
      </c>
      <c r="K21" s="9">
        <f t="shared" ref="K21" si="186">ROUND((I21*0.42)*0.9,2)</f>
        <v>0</v>
      </c>
      <c r="L21" s="69">
        <f t="shared" ref="L21" si="187">IF(J21+K21=I21,H21-I21,"ERROR")</f>
        <v>1384990.6200000022</v>
      </c>
      <c r="M21" s="9">
        <f t="shared" ref="M21" si="188">ROUND(L21*0.465,2)</f>
        <v>644020.64</v>
      </c>
      <c r="N21" s="9">
        <f>ROUND(L21*0.3,2)+0.04</f>
        <v>415497.23</v>
      </c>
      <c r="O21" s="9">
        <f>ROUND(L21*0.1285,2)-0.03</f>
        <v>177971.26</v>
      </c>
      <c r="P21" s="9">
        <f t="shared" ref="P21" si="189">ROUND((L21*0.07)*0.9,2)</f>
        <v>87254.41</v>
      </c>
      <c r="Q21" s="9">
        <f>ROUND(L21*0.01,2)-0.01</f>
        <v>13849.9</v>
      </c>
      <c r="R21" s="9">
        <f t="shared" ref="R21" si="190">ROUND((L21*0.0075)*0.9,2)</f>
        <v>9348.69</v>
      </c>
      <c r="S21" s="9">
        <f t="shared" ref="S21" si="191">ROUND((L21*0.0075)*0.9,2)</f>
        <v>9348.69</v>
      </c>
      <c r="T21" s="9">
        <f>ROUND(L21*0.02,2)-0.01</f>
        <v>27699.800000000003</v>
      </c>
      <c r="U21" s="9"/>
      <c r="V21" s="42">
        <f t="shared" ref="V21" si="192">E21/W21</f>
        <v>1490.3910847107461</v>
      </c>
      <c r="W21" s="10">
        <v>968</v>
      </c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</row>
    <row r="22" spans="1:96" ht="15" customHeight="1" x14ac:dyDescent="0.25">
      <c r="A22" s="68">
        <f t="shared" si="24"/>
        <v>44128</v>
      </c>
      <c r="B22" s="9">
        <v>15191811.960000001</v>
      </c>
      <c r="C22" s="9">
        <v>13517604.640000001</v>
      </c>
      <c r="D22" s="9">
        <v>247241</v>
      </c>
      <c r="E22" s="9">
        <f t="shared" ref="E22" si="193">B22-C22-D22</f>
        <v>1426966.3200000003</v>
      </c>
      <c r="F22" s="9">
        <f>ROUND(E22*0.04,2)+0.01</f>
        <v>57078.66</v>
      </c>
      <c r="G22" s="9">
        <f t="shared" ref="G22" si="194">ROUND(E22*0,2)</f>
        <v>0</v>
      </c>
      <c r="H22" s="9">
        <f t="shared" ref="H22" si="195">E22-F22-G22</f>
        <v>1369887.6600000004</v>
      </c>
      <c r="I22" s="9">
        <f t="shared" ref="I22" si="196">ROUND(H22*0,2)</f>
        <v>0</v>
      </c>
      <c r="J22" s="9">
        <f t="shared" ref="J22" si="197">ROUND((I22*0.58)+((I22*0.42)*0.1),2)</f>
        <v>0</v>
      </c>
      <c r="K22" s="9">
        <f t="shared" ref="K22" si="198">ROUND((I22*0.42)*0.9,2)</f>
        <v>0</v>
      </c>
      <c r="L22" s="69">
        <f t="shared" ref="L22" si="199">IF(J22+K22=I22,H22-I22,"ERROR")</f>
        <v>1369887.6600000004</v>
      </c>
      <c r="M22" s="9">
        <f t="shared" ref="M22" si="200">ROUND(L22*0.465,2)</f>
        <v>636997.76</v>
      </c>
      <c r="N22" s="9">
        <f>ROUND(L22*0.3,2)-0.04</f>
        <v>410966.26</v>
      </c>
      <c r="O22" s="9">
        <f>ROUND(L22*0.1285,2)+0.04</f>
        <v>176030.6</v>
      </c>
      <c r="P22" s="9">
        <f t="shared" ref="P22" si="201">ROUND((L22*0.07)*0.9,2)</f>
        <v>86302.92</v>
      </c>
      <c r="Q22" s="9">
        <f>ROUND(L22*0.01,2)</f>
        <v>13698.88</v>
      </c>
      <c r="R22" s="9">
        <f t="shared" ref="R22" si="202">ROUND((L22*0.0075)*0.9,2)</f>
        <v>9246.74</v>
      </c>
      <c r="S22" s="9">
        <f t="shared" ref="S22" si="203">ROUND((L22*0.0075)*0.9,2)</f>
        <v>9246.74</v>
      </c>
      <c r="T22" s="9">
        <f>ROUND(L22*0.02,2)+0.01</f>
        <v>27397.759999999998</v>
      </c>
      <c r="U22" s="9"/>
      <c r="V22" s="42">
        <f t="shared" ref="V22" si="204">E22/W22</f>
        <v>1510.0172698412703</v>
      </c>
      <c r="W22" s="10">
        <v>945</v>
      </c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</row>
    <row r="23" spans="1:96" ht="15" customHeight="1" x14ac:dyDescent="0.25">
      <c r="A23" s="68">
        <f t="shared" si="24"/>
        <v>44135</v>
      </c>
      <c r="B23" s="9">
        <v>15754213.18</v>
      </c>
      <c r="C23" s="9">
        <v>14054449.09</v>
      </c>
      <c r="D23" s="9">
        <v>292891</v>
      </c>
      <c r="E23" s="9">
        <f t="shared" ref="E23" si="205">B23-C23-D23</f>
        <v>1406873.0899999999</v>
      </c>
      <c r="F23" s="9">
        <f>ROUND(E23*0.04,2)+0.01</f>
        <v>56274.93</v>
      </c>
      <c r="G23" s="9">
        <f t="shared" ref="G23" si="206">ROUND(E23*0,2)</f>
        <v>0</v>
      </c>
      <c r="H23" s="9">
        <f t="shared" ref="H23" si="207">E23-F23-G23</f>
        <v>1350598.16</v>
      </c>
      <c r="I23" s="9">
        <f t="shared" ref="I23" si="208">ROUND(H23*0,2)</f>
        <v>0</v>
      </c>
      <c r="J23" s="9">
        <f t="shared" ref="J23" si="209">ROUND((I23*0.58)+((I23*0.42)*0.1),2)</f>
        <v>0</v>
      </c>
      <c r="K23" s="9">
        <f t="shared" ref="K23" si="210">ROUND((I23*0.42)*0.9,2)</f>
        <v>0</v>
      </c>
      <c r="L23" s="69">
        <f t="shared" ref="L23" si="211">IF(J23+K23=I23,H23-I23,"ERROR")</f>
        <v>1350598.16</v>
      </c>
      <c r="M23" s="9">
        <f t="shared" ref="M23" si="212">ROUND(L23*0.465,2)</f>
        <v>628028.14</v>
      </c>
      <c r="N23" s="9">
        <f>ROUND(L23*0.3,2)+0.02</f>
        <v>405179.47000000003</v>
      </c>
      <c r="O23" s="9">
        <f>ROUND(L23*0.1285,2)-0.01</f>
        <v>173551.84999999998</v>
      </c>
      <c r="P23" s="9">
        <f t="shared" ref="P23" si="213">ROUND((L23*0.07)*0.9,2)</f>
        <v>85087.679999999993</v>
      </c>
      <c r="Q23" s="9">
        <f>ROUND(L23*0.01,2)</f>
        <v>13505.98</v>
      </c>
      <c r="R23" s="9">
        <f t="shared" ref="R23" si="214">ROUND((L23*0.0075)*0.9,2)</f>
        <v>9116.5400000000009</v>
      </c>
      <c r="S23" s="9">
        <f t="shared" ref="S23" si="215">ROUND((L23*0.0075)*0.9,2)</f>
        <v>9116.5400000000009</v>
      </c>
      <c r="T23" s="9">
        <f>ROUND(L23*0.02,2)</f>
        <v>27011.96</v>
      </c>
      <c r="U23" s="9"/>
      <c r="V23" s="42">
        <f t="shared" ref="V23" si="216">E23/W23</f>
        <v>1482.4795468914645</v>
      </c>
      <c r="W23" s="10">
        <v>949</v>
      </c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</row>
    <row r="24" spans="1:96" ht="15" customHeight="1" x14ac:dyDescent="0.25">
      <c r="A24" s="68">
        <f t="shared" si="24"/>
        <v>44142</v>
      </c>
      <c r="B24" s="9">
        <v>13957313.58</v>
      </c>
      <c r="C24" s="9">
        <v>12411858.960000001</v>
      </c>
      <c r="D24" s="9">
        <v>197746</v>
      </c>
      <c r="E24" s="9">
        <f t="shared" ref="E24" si="217">B24-C24-D24</f>
        <v>1347708.6199999992</v>
      </c>
      <c r="F24" s="9">
        <f>ROUND(E24*0.04,2)+0.02</f>
        <v>53908.359999999993</v>
      </c>
      <c r="G24" s="9">
        <f t="shared" ref="G24" si="218">ROUND(E24*0,2)</f>
        <v>0</v>
      </c>
      <c r="H24" s="9">
        <f t="shared" ref="H24" si="219">E24-F24-G24</f>
        <v>1293800.2599999991</v>
      </c>
      <c r="I24" s="9">
        <f t="shared" ref="I24" si="220">ROUND(H24*0,2)</f>
        <v>0</v>
      </c>
      <c r="J24" s="9">
        <f t="shared" ref="J24" si="221">ROUND((I24*0.58)+((I24*0.42)*0.1),2)</f>
        <v>0</v>
      </c>
      <c r="K24" s="9">
        <f t="shared" ref="K24" si="222">ROUND((I24*0.42)*0.9,2)</f>
        <v>0</v>
      </c>
      <c r="L24" s="69">
        <f t="shared" ref="L24" si="223">IF(J24+K24=I24,H24-I24,"ERROR")</f>
        <v>1293800.2599999991</v>
      </c>
      <c r="M24" s="9">
        <f t="shared" ref="M24" si="224">ROUND(L24*0.465,2)</f>
        <v>601617.12</v>
      </c>
      <c r="N24" s="9">
        <f>ROUND(L24*0.3,2)+0.01</f>
        <v>388140.09</v>
      </c>
      <c r="O24" s="9">
        <f>ROUND(L24*0.1285,2)</f>
        <v>166253.32999999999</v>
      </c>
      <c r="P24" s="9">
        <f t="shared" ref="P24" si="225">ROUND((L24*0.07)*0.9,2)</f>
        <v>81509.42</v>
      </c>
      <c r="Q24" s="9">
        <f>ROUND(L24*0.01,2)</f>
        <v>12938</v>
      </c>
      <c r="R24" s="9">
        <f t="shared" ref="R24" si="226">ROUND((L24*0.0075)*0.9,2)</f>
        <v>8733.15</v>
      </c>
      <c r="S24" s="9">
        <f t="shared" ref="S24" si="227">ROUND((L24*0.0075)*0.9,2)</f>
        <v>8733.15</v>
      </c>
      <c r="T24" s="9">
        <f>ROUND(L24*0.02,2)-0.01</f>
        <v>25876</v>
      </c>
      <c r="U24" s="9"/>
      <c r="V24" s="42">
        <f t="shared" ref="V24" si="228">E24/W24</f>
        <v>1376.6175893769143</v>
      </c>
      <c r="W24" s="10">
        <v>979</v>
      </c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</row>
    <row r="25" spans="1:96" ht="15" customHeight="1" x14ac:dyDescent="0.25">
      <c r="A25" s="68">
        <f t="shared" si="24"/>
        <v>44149</v>
      </c>
      <c r="B25" s="9">
        <v>13884236.16</v>
      </c>
      <c r="C25" s="9">
        <v>12375331.68</v>
      </c>
      <c r="D25" s="9">
        <v>235535</v>
      </c>
      <c r="E25" s="9">
        <f t="shared" ref="E25" si="229">B25-C25-D25</f>
        <v>1273369.4800000004</v>
      </c>
      <c r="F25" s="9">
        <f>ROUND(E25*0.04,2)-0.01</f>
        <v>50934.77</v>
      </c>
      <c r="G25" s="9">
        <f t="shared" ref="G25" si="230">ROUND(E25*0,2)</f>
        <v>0</v>
      </c>
      <c r="H25" s="9">
        <f t="shared" ref="H25" si="231">E25-F25-G25</f>
        <v>1222434.7100000004</v>
      </c>
      <c r="I25" s="9">
        <f t="shared" ref="I25" si="232">ROUND(H25*0,2)</f>
        <v>0</v>
      </c>
      <c r="J25" s="9">
        <f t="shared" ref="J25" si="233">ROUND((I25*0.58)+((I25*0.42)*0.1),2)</f>
        <v>0</v>
      </c>
      <c r="K25" s="9">
        <f t="shared" ref="K25" si="234">ROUND((I25*0.42)*0.9,2)</f>
        <v>0</v>
      </c>
      <c r="L25" s="69">
        <f t="shared" ref="L25" si="235">IF(J25+K25=I25,H25-I25,"ERROR")</f>
        <v>1222434.7100000004</v>
      </c>
      <c r="M25" s="9">
        <f t="shared" ref="M25" si="236">ROUND(L25*0.465,2)</f>
        <v>568432.14</v>
      </c>
      <c r="N25" s="9">
        <f>ROUND(L25*0.3,2)+0.04</f>
        <v>366730.44999999995</v>
      </c>
      <c r="O25" s="9">
        <f>ROUND(L25*0.1285,2)-0.01</f>
        <v>157082.84999999998</v>
      </c>
      <c r="P25" s="9">
        <f t="shared" ref="P25" si="237">ROUND((L25*0.07)*0.9,2)</f>
        <v>77013.39</v>
      </c>
      <c r="Q25" s="9">
        <f>ROUND(L25*0.01,2)-0.01</f>
        <v>12224.34</v>
      </c>
      <c r="R25" s="9">
        <f t="shared" ref="R25" si="238">ROUND((L25*0.0075)*0.9,2)</f>
        <v>8251.43</v>
      </c>
      <c r="S25" s="9">
        <f t="shared" ref="S25" si="239">ROUND((L25*0.0075)*0.9,2)</f>
        <v>8251.43</v>
      </c>
      <c r="T25" s="9">
        <f>ROUND(L25*0.02,2)-0.01</f>
        <v>24448.68</v>
      </c>
      <c r="U25" s="9"/>
      <c r="V25" s="42">
        <f t="shared" ref="V25" si="240">E25/W25</f>
        <v>1260.7618613861391</v>
      </c>
      <c r="W25" s="10">
        <v>1010</v>
      </c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</row>
    <row r="26" spans="1:96" ht="15" customHeight="1" x14ac:dyDescent="0.25">
      <c r="A26" s="68">
        <f t="shared" si="24"/>
        <v>44156</v>
      </c>
      <c r="B26" s="9">
        <v>9784671.4900000021</v>
      </c>
      <c r="C26" s="9">
        <v>8740037.8200000003</v>
      </c>
      <c r="D26" s="9">
        <v>183020</v>
      </c>
      <c r="E26" s="9">
        <f t="shared" ref="E26" si="241">B26-C26-D26</f>
        <v>861613.67000000179</v>
      </c>
      <c r="F26" s="9">
        <f>ROUND(E26*0.04,2)-0.01</f>
        <v>34464.54</v>
      </c>
      <c r="G26" s="9">
        <f t="shared" ref="G26" si="242">ROUND(E26*0,2)</f>
        <v>0</v>
      </c>
      <c r="H26" s="9">
        <f t="shared" ref="H26" si="243">E26-F26-G26</f>
        <v>827149.13000000175</v>
      </c>
      <c r="I26" s="9">
        <f t="shared" ref="I26" si="244">ROUND(H26*0,2)</f>
        <v>0</v>
      </c>
      <c r="J26" s="9">
        <f t="shared" ref="J26" si="245">ROUND((I26*0.58)+((I26*0.42)*0.1),2)</f>
        <v>0</v>
      </c>
      <c r="K26" s="9">
        <f t="shared" ref="K26" si="246">ROUND((I26*0.42)*0.9,2)</f>
        <v>0</v>
      </c>
      <c r="L26" s="69">
        <f t="shared" ref="L26" si="247">IF(J26+K26=I26,H26-I26,"ERROR")</f>
        <v>827149.13000000175</v>
      </c>
      <c r="M26" s="9">
        <f t="shared" ref="M26" si="248">ROUND(L26*0.465,2)</f>
        <v>384624.35</v>
      </c>
      <c r="N26" s="9">
        <f>ROUND(L26*0.3,2)-0.06</f>
        <v>248144.68</v>
      </c>
      <c r="O26" s="9">
        <f>ROUND(L26*0.1285,2)+0.02</f>
        <v>106288.68000000001</v>
      </c>
      <c r="P26" s="9">
        <f t="shared" ref="P26" si="249">ROUND((L26*0.07)*0.9,2)</f>
        <v>52110.400000000001</v>
      </c>
      <c r="Q26" s="9">
        <f>ROUND(L26*0.01,2)+0.01</f>
        <v>8271.5</v>
      </c>
      <c r="R26" s="9">
        <f t="shared" ref="R26" si="250">ROUND((L26*0.0075)*0.9,2)</f>
        <v>5583.26</v>
      </c>
      <c r="S26" s="9">
        <f t="shared" ref="S26" si="251">ROUND((L26*0.0075)*0.9,2)</f>
        <v>5583.26</v>
      </c>
      <c r="T26" s="9">
        <f>ROUND(L26*0.02,2)+0.02</f>
        <v>16543</v>
      </c>
      <c r="U26" s="9"/>
      <c r="V26" s="42">
        <f t="shared" ref="V26" si="252">E26/W26</f>
        <v>853.92831516352999</v>
      </c>
      <c r="W26" s="10">
        <v>1009</v>
      </c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</row>
    <row r="27" spans="1:96" ht="15" customHeight="1" x14ac:dyDescent="0.25">
      <c r="A27" s="68">
        <f t="shared" si="24"/>
        <v>44163</v>
      </c>
      <c r="B27" s="9">
        <v>10807380.48</v>
      </c>
      <c r="C27" s="9">
        <v>9594329.2899999991</v>
      </c>
      <c r="D27" s="9">
        <v>169624</v>
      </c>
      <c r="E27" s="9">
        <f t="shared" ref="E27" si="253">B27-C27-D27</f>
        <v>1043427.1900000013</v>
      </c>
      <c r="F27" s="9">
        <f>ROUND(E27*0.04,2)</f>
        <v>41737.089999999997</v>
      </c>
      <c r="G27" s="9">
        <f t="shared" ref="G27" si="254">ROUND(E27*0,2)</f>
        <v>0</v>
      </c>
      <c r="H27" s="9">
        <f t="shared" ref="H27" si="255">E27-F27-G27</f>
        <v>1001690.1000000014</v>
      </c>
      <c r="I27" s="9">
        <f t="shared" ref="I27" si="256">ROUND(H27*0,2)</f>
        <v>0</v>
      </c>
      <c r="J27" s="9">
        <f t="shared" ref="J27" si="257">ROUND((I27*0.58)+((I27*0.42)*0.1),2)</f>
        <v>0</v>
      </c>
      <c r="K27" s="9">
        <f t="shared" ref="K27" si="258">ROUND((I27*0.42)*0.9,2)</f>
        <v>0</v>
      </c>
      <c r="L27" s="69">
        <f t="shared" ref="L27" si="259">IF(J27+K27=I27,H27-I27,"ERROR")</f>
        <v>1001690.1000000014</v>
      </c>
      <c r="M27" s="9">
        <f t="shared" ref="M27" si="260">ROUND(L27*0.465,2)</f>
        <v>465785.9</v>
      </c>
      <c r="N27" s="9">
        <f>ROUND(L27*0.3,2)-0.02</f>
        <v>300507.01</v>
      </c>
      <c r="O27" s="9">
        <f>ROUND(L27*0.1285,2)+0.01</f>
        <v>128717.18999999999</v>
      </c>
      <c r="P27" s="9">
        <f t="shared" ref="P27" si="261">ROUND((L27*0.07)*0.9,2)</f>
        <v>63106.48</v>
      </c>
      <c r="Q27" s="9">
        <f>ROUND(L27*0.01,2)</f>
        <v>10016.9</v>
      </c>
      <c r="R27" s="9">
        <f t="shared" ref="R27" si="262">ROUND((L27*0.0075)*0.9,2)</f>
        <v>6761.41</v>
      </c>
      <c r="S27" s="9">
        <f t="shared" ref="S27" si="263">ROUND((L27*0.0075)*0.9,2)</f>
        <v>6761.41</v>
      </c>
      <c r="T27" s="9">
        <f>ROUND(L27*0.02,2)</f>
        <v>20033.8</v>
      </c>
      <c r="U27" s="9"/>
      <c r="V27" s="42">
        <f t="shared" ref="V27" si="264">E27/W27</f>
        <v>1035.1460218253981</v>
      </c>
      <c r="W27" s="10">
        <v>1008</v>
      </c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</row>
    <row r="28" spans="1:96" ht="15" customHeight="1" x14ac:dyDescent="0.25">
      <c r="A28" s="68">
        <f t="shared" si="24"/>
        <v>44170</v>
      </c>
      <c r="B28" s="9">
        <v>8894154.1699999999</v>
      </c>
      <c r="C28" s="9">
        <v>7825779.1499999985</v>
      </c>
      <c r="D28" s="9">
        <v>174373</v>
      </c>
      <c r="E28" s="9">
        <f t="shared" ref="E28" si="265">B28-C28-D28</f>
        <v>894002.02000000142</v>
      </c>
      <c r="F28" s="9">
        <f>ROUND(E28*0.04,2)-0.01</f>
        <v>35760.07</v>
      </c>
      <c r="G28" s="9">
        <f t="shared" ref="G28" si="266">ROUND(E28*0,2)</f>
        <v>0</v>
      </c>
      <c r="H28" s="9">
        <f t="shared" ref="H28" si="267">E28-F28-G28</f>
        <v>858241.95000000147</v>
      </c>
      <c r="I28" s="9">
        <f t="shared" ref="I28" si="268">ROUND(H28*0,2)</f>
        <v>0</v>
      </c>
      <c r="J28" s="9">
        <f t="shared" ref="J28" si="269">ROUND((I28*0.58)+((I28*0.42)*0.1),2)</f>
        <v>0</v>
      </c>
      <c r="K28" s="9">
        <f t="shared" ref="K28" si="270">ROUND((I28*0.42)*0.9,2)</f>
        <v>0</v>
      </c>
      <c r="L28" s="69">
        <f t="shared" ref="L28" si="271">IF(J28+K28=I28,H28-I28,"ERROR")</f>
        <v>858241.95000000147</v>
      </c>
      <c r="M28" s="9">
        <f t="shared" ref="M28" si="272">ROUND(L28*0.465,2)</f>
        <v>399082.51</v>
      </c>
      <c r="N28" s="9">
        <f>ROUND(L28*0.3,2)-0.01</f>
        <v>257472.58</v>
      </c>
      <c r="O28" s="9">
        <f>ROUND(L28*0.1285,2)+0.01</f>
        <v>110284.09999999999</v>
      </c>
      <c r="P28" s="9">
        <f t="shared" ref="P28" si="273">ROUND((L28*0.07)*0.9,2)</f>
        <v>54069.24</v>
      </c>
      <c r="Q28" s="9">
        <f>ROUND(L28*0.01,2)</f>
        <v>8582.42</v>
      </c>
      <c r="R28" s="9">
        <f t="shared" ref="R28" si="274">ROUND((L28*0.0075)*0.9,2)</f>
        <v>5793.13</v>
      </c>
      <c r="S28" s="9">
        <f t="shared" ref="S28" si="275">ROUND((L28*0.0075)*0.9,2)</f>
        <v>5793.13</v>
      </c>
      <c r="T28" s="9">
        <f>ROUND(L28*0.02,2)</f>
        <v>17164.84</v>
      </c>
      <c r="U28" s="9"/>
      <c r="V28" s="42">
        <f t="shared" ref="V28" si="276">E28/W28</f>
        <v>911.31704383282511</v>
      </c>
      <c r="W28" s="10">
        <v>981</v>
      </c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</row>
    <row r="29" spans="1:96" ht="15" customHeight="1" x14ac:dyDescent="0.25">
      <c r="A29" s="68">
        <f t="shared" si="24"/>
        <v>44177</v>
      </c>
      <c r="B29" s="9">
        <v>10591911.93</v>
      </c>
      <c r="C29" s="9">
        <v>9371010</v>
      </c>
      <c r="D29" s="9">
        <v>156544</v>
      </c>
      <c r="E29" s="9">
        <f t="shared" ref="E29" si="277">B29-C29-D29</f>
        <v>1064357.9299999997</v>
      </c>
      <c r="F29" s="9">
        <f>ROUND(E29*0.04,2)</f>
        <v>42574.32</v>
      </c>
      <c r="G29" s="9">
        <f t="shared" ref="G29" si="278">ROUND(E29*0,2)</f>
        <v>0</v>
      </c>
      <c r="H29" s="9">
        <f t="shared" ref="H29" si="279">E29-F29-G29</f>
        <v>1021783.6099999998</v>
      </c>
      <c r="I29" s="9">
        <f t="shared" ref="I29" si="280">ROUND(H29*0,2)</f>
        <v>0</v>
      </c>
      <c r="J29" s="9">
        <f t="shared" ref="J29" si="281">ROUND((I29*0.58)+((I29*0.42)*0.1),2)</f>
        <v>0</v>
      </c>
      <c r="K29" s="9">
        <f t="shared" ref="K29" si="282">ROUND((I29*0.42)*0.9,2)</f>
        <v>0</v>
      </c>
      <c r="L29" s="69">
        <f t="shared" ref="L29" si="283">IF(J29+K29=I29,H29-I29,"ERROR")</f>
        <v>1021783.6099999998</v>
      </c>
      <c r="M29" s="9">
        <f t="shared" ref="M29" si="284">ROUND(L29*0.465,2)</f>
        <v>475129.38</v>
      </c>
      <c r="N29" s="9">
        <f>ROUND(L29*0.3,2)-0.01</f>
        <v>306535.07</v>
      </c>
      <c r="O29" s="9">
        <f>ROUND(L29*0.1285,2)</f>
        <v>131299.19</v>
      </c>
      <c r="P29" s="9">
        <f t="shared" ref="P29" si="285">ROUND((L29*0.07)*0.9,2)</f>
        <v>64372.37</v>
      </c>
      <c r="Q29" s="9">
        <f>ROUND(L29*0.01,2)</f>
        <v>10217.84</v>
      </c>
      <c r="R29" s="9">
        <f t="shared" ref="R29" si="286">ROUND((L29*0.0075)*0.9,2)</f>
        <v>6897.04</v>
      </c>
      <c r="S29" s="9">
        <f t="shared" ref="S29" si="287">ROUND((L29*0.0075)*0.9,2)</f>
        <v>6897.04</v>
      </c>
      <c r="T29" s="9">
        <f>ROUND(L29*0.02,2)+0.01</f>
        <v>20435.679999999997</v>
      </c>
      <c r="U29" s="9"/>
      <c r="V29" s="42">
        <f t="shared" ref="V29" si="288">E29/W29</f>
        <v>1059.0626169154225</v>
      </c>
      <c r="W29" s="10">
        <v>1005</v>
      </c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</row>
    <row r="30" spans="1:96" ht="15" customHeight="1" x14ac:dyDescent="0.25">
      <c r="A30" s="68">
        <f t="shared" si="24"/>
        <v>44184</v>
      </c>
      <c r="B30" s="9">
        <v>11030710.1</v>
      </c>
      <c r="C30" s="9">
        <v>9807160.0899999999</v>
      </c>
      <c r="D30" s="9">
        <v>147103</v>
      </c>
      <c r="E30" s="9">
        <f t="shared" ref="E30" si="289">B30-C30-D30</f>
        <v>1076447.0099999998</v>
      </c>
      <c r="F30" s="9">
        <f>ROUND(E30*0.04,2)</f>
        <v>43057.88</v>
      </c>
      <c r="G30" s="9">
        <f t="shared" ref="G30" si="290">ROUND(E30*0,2)</f>
        <v>0</v>
      </c>
      <c r="H30" s="9">
        <f t="shared" ref="H30" si="291">E30-F30-G30</f>
        <v>1033389.1299999998</v>
      </c>
      <c r="I30" s="9">
        <f t="shared" ref="I30" si="292">ROUND(H30*0,2)</f>
        <v>0</v>
      </c>
      <c r="J30" s="9">
        <f t="shared" ref="J30" si="293">ROUND((I30*0.58)+((I30*0.42)*0.1),2)</f>
        <v>0</v>
      </c>
      <c r="K30" s="9">
        <f t="shared" ref="K30" si="294">ROUND((I30*0.42)*0.9,2)</f>
        <v>0</v>
      </c>
      <c r="L30" s="69">
        <f t="shared" ref="L30" si="295">IF(J30+K30=I30,H30-I30,"ERROR")</f>
        <v>1033389.1299999998</v>
      </c>
      <c r="M30" s="9">
        <f t="shared" ref="M30" si="296">ROUND(L30*0.465,2)</f>
        <v>480525.95</v>
      </c>
      <c r="N30" s="9">
        <f>ROUND(L30*0.3,2)-0.06</f>
        <v>310016.68</v>
      </c>
      <c r="O30" s="9">
        <f>ROUND(L30*0.1285,2)+0.02</f>
        <v>132790.51999999999</v>
      </c>
      <c r="P30" s="9">
        <f t="shared" ref="P30" si="297">ROUND((L30*0.07)*0.9,2)</f>
        <v>65103.519999999997</v>
      </c>
      <c r="Q30" s="9">
        <f>ROUND(L30*0.01,2)+0.01</f>
        <v>10333.9</v>
      </c>
      <c r="R30" s="9">
        <f t="shared" ref="R30" si="298">ROUND((L30*0.0075)*0.9,2)</f>
        <v>6975.38</v>
      </c>
      <c r="S30" s="9">
        <f t="shared" ref="S30" si="299">ROUND((L30*0.0075)*0.9,2)</f>
        <v>6975.38</v>
      </c>
      <c r="T30" s="9">
        <f>ROUND(L30*0.02,2)+0.02</f>
        <v>20667.8</v>
      </c>
      <c r="U30" s="9"/>
      <c r="V30" s="42">
        <f t="shared" ref="V30" si="300">E30/W30</f>
        <v>1050.1922048780486</v>
      </c>
      <c r="W30" s="10">
        <v>1025</v>
      </c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</row>
    <row r="31" spans="1:96" ht="15" customHeight="1" x14ac:dyDescent="0.25">
      <c r="A31" s="68">
        <f t="shared" si="24"/>
        <v>44191</v>
      </c>
      <c r="B31" s="9">
        <v>12385588.869999999</v>
      </c>
      <c r="C31" s="9">
        <v>11083157.1</v>
      </c>
      <c r="D31" s="9">
        <v>177762</v>
      </c>
      <c r="E31" s="9">
        <f t="shared" ref="E31" si="301">B31-C31-D31</f>
        <v>1124669.7699999996</v>
      </c>
      <c r="F31" s="9">
        <f>ROUND(E31*0.04,2)</f>
        <v>44986.79</v>
      </c>
      <c r="G31" s="9">
        <f t="shared" ref="G31" si="302">ROUND(E31*0,2)</f>
        <v>0</v>
      </c>
      <c r="H31" s="9">
        <f t="shared" ref="H31" si="303">E31-F31-G31</f>
        <v>1079682.9799999995</v>
      </c>
      <c r="I31" s="9">
        <f t="shared" ref="I31" si="304">ROUND(H31*0,2)</f>
        <v>0</v>
      </c>
      <c r="J31" s="9">
        <f t="shared" ref="J31" si="305">ROUND((I31*0.58)+((I31*0.42)*0.1),2)</f>
        <v>0</v>
      </c>
      <c r="K31" s="9">
        <f t="shared" ref="K31" si="306">ROUND((I31*0.42)*0.9,2)</f>
        <v>0</v>
      </c>
      <c r="L31" s="69">
        <f t="shared" ref="L31" si="307">IF(J31+K31=I31,H31-I31,"ERROR")</f>
        <v>1079682.9799999995</v>
      </c>
      <c r="M31" s="9">
        <f t="shared" ref="M31" si="308">ROUND(L31*0.465,2)</f>
        <v>502052.59</v>
      </c>
      <c r="N31" s="9">
        <f>ROUND(L31*0.3,2)+0.06</f>
        <v>323904.95</v>
      </c>
      <c r="O31" s="9">
        <f>ROUND(L31*0.1285,2)-0.03</f>
        <v>138739.23000000001</v>
      </c>
      <c r="P31" s="9">
        <f t="shared" ref="P31" si="309">ROUND((L31*0.07)*0.9,2)</f>
        <v>68020.03</v>
      </c>
      <c r="Q31" s="9">
        <f>ROUND(L31*0.01,2)-0.01</f>
        <v>10796.82</v>
      </c>
      <c r="R31" s="9">
        <f t="shared" ref="R31" si="310">ROUND((L31*0.0075)*0.9,2)</f>
        <v>7287.86</v>
      </c>
      <c r="S31" s="9">
        <f t="shared" ref="S31" si="311">ROUND((L31*0.0075)*0.9,2)</f>
        <v>7287.86</v>
      </c>
      <c r="T31" s="9">
        <f>ROUND(L31*0.02,2)-0.02</f>
        <v>21593.64</v>
      </c>
      <c r="U31" s="9"/>
      <c r="V31" s="42">
        <f t="shared" ref="V31" si="312">E31/W31</f>
        <v>1086.6374589371976</v>
      </c>
      <c r="W31" s="10">
        <v>1035</v>
      </c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</row>
    <row r="32" spans="1:96" ht="15" customHeight="1" x14ac:dyDescent="0.25">
      <c r="A32" s="68">
        <f t="shared" si="24"/>
        <v>44198</v>
      </c>
      <c r="B32" s="9">
        <v>27204896.409999996</v>
      </c>
      <c r="C32" s="9">
        <v>24114168.250000004</v>
      </c>
      <c r="D32" s="9">
        <v>302280</v>
      </c>
      <c r="E32" s="9">
        <f t="shared" ref="E32" si="313">B32-C32-D32</f>
        <v>2788448.1599999927</v>
      </c>
      <c r="F32" s="9">
        <f>ROUND(E32*0.04,2)+0.01</f>
        <v>111537.93999999999</v>
      </c>
      <c r="G32" s="9">
        <f t="shared" ref="G32" si="314">ROUND(E32*0,2)</f>
        <v>0</v>
      </c>
      <c r="H32" s="9">
        <f t="shared" ref="H32" si="315">E32-F32-G32</f>
        <v>2676910.2199999928</v>
      </c>
      <c r="I32" s="9">
        <f t="shared" ref="I32" si="316">ROUND(H32*0,2)</f>
        <v>0</v>
      </c>
      <c r="J32" s="9">
        <f t="shared" ref="J32" si="317">ROUND((I32*0.58)+((I32*0.42)*0.1),2)</f>
        <v>0</v>
      </c>
      <c r="K32" s="9">
        <f t="shared" ref="K32" si="318">ROUND((I32*0.42)*0.9,2)</f>
        <v>0</v>
      </c>
      <c r="L32" s="69">
        <f t="shared" ref="L32" si="319">IF(J32+K32=I32,H32-I32,"ERROR")</f>
        <v>2676910.2199999928</v>
      </c>
      <c r="M32" s="9">
        <f t="shared" ref="M32" si="320">ROUND(L32*0.465,2)</f>
        <v>1244763.25</v>
      </c>
      <c r="N32" s="9">
        <f>ROUND(L32*0.3,2)-0.01</f>
        <v>803073.05999999994</v>
      </c>
      <c r="O32" s="9">
        <f>ROUND(L32*0.1285,2)+0.03</f>
        <v>343982.99000000005</v>
      </c>
      <c r="P32" s="9">
        <f t="shared" ref="P32" si="321">ROUND((L32*0.07)*0.9,2)</f>
        <v>168645.34</v>
      </c>
      <c r="Q32" s="9">
        <f>ROUND(L32*0.01,2)</f>
        <v>26769.1</v>
      </c>
      <c r="R32" s="9">
        <f t="shared" ref="R32" si="322">ROUND((L32*0.0075)*0.9,2)</f>
        <v>18069.14</v>
      </c>
      <c r="S32" s="9">
        <f t="shared" ref="S32" si="323">ROUND((L32*0.0075)*0.9,2)</f>
        <v>18069.14</v>
      </c>
      <c r="T32" s="9">
        <f>ROUND(L32*0.02,2)</f>
        <v>53538.2</v>
      </c>
      <c r="U32" s="9"/>
      <c r="V32" s="42">
        <f t="shared" ref="V32" si="324">E32/W32</f>
        <v>2655.6649142857073</v>
      </c>
      <c r="W32" s="10">
        <v>1050</v>
      </c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</row>
    <row r="33" spans="1:96" ht="15" customHeight="1" x14ac:dyDescent="0.25">
      <c r="A33" s="68">
        <f t="shared" si="24"/>
        <v>44205</v>
      </c>
      <c r="B33" s="9">
        <v>13434986.91</v>
      </c>
      <c r="C33" s="9">
        <v>11914892.559999999</v>
      </c>
      <c r="D33" s="9">
        <v>177514</v>
      </c>
      <c r="E33" s="9">
        <f t="shared" ref="E33" si="325">B33-C33-D33</f>
        <v>1342580.3500000015</v>
      </c>
      <c r="F33" s="9">
        <f>ROUND(E33*0.04,2)+0.02</f>
        <v>53703.229999999996</v>
      </c>
      <c r="G33" s="9">
        <f t="shared" ref="G33" si="326">ROUND(E33*0,2)</f>
        <v>0</v>
      </c>
      <c r="H33" s="9">
        <f t="shared" ref="H33" si="327">E33-F33-G33</f>
        <v>1288877.1200000015</v>
      </c>
      <c r="I33" s="9">
        <f t="shared" ref="I33" si="328">ROUND(H33*0,2)</f>
        <v>0</v>
      </c>
      <c r="J33" s="9">
        <f t="shared" ref="J33" si="329">ROUND((I33*0.58)+((I33*0.42)*0.1),2)</f>
        <v>0</v>
      </c>
      <c r="K33" s="9">
        <f t="shared" ref="K33" si="330">ROUND((I33*0.42)*0.9,2)</f>
        <v>0</v>
      </c>
      <c r="L33" s="69">
        <f t="shared" ref="L33" si="331">IF(J33+K33=I33,H33-I33,"ERROR")</f>
        <v>1288877.1200000015</v>
      </c>
      <c r="M33" s="9">
        <f t="shared" ref="M33" si="332">ROUND(L33*0.465,2)</f>
        <v>599327.86</v>
      </c>
      <c r="N33" s="9">
        <f>ROUND(L33*0.3,2)-0.06</f>
        <v>386663.08</v>
      </c>
      <c r="O33" s="9">
        <f>ROUND(L33*0.1285,2)+0.03</f>
        <v>165620.74</v>
      </c>
      <c r="P33" s="9">
        <f t="shared" ref="P33" si="333">ROUND((L33*0.07)*0.9,2)</f>
        <v>81199.259999999995</v>
      </c>
      <c r="Q33" s="9">
        <f>ROUND(L33*0.01,2)+0.01</f>
        <v>12888.78</v>
      </c>
      <c r="R33" s="9">
        <f t="shared" ref="R33" si="334">ROUND((L33*0.0075)*0.9,2)</f>
        <v>8699.92</v>
      </c>
      <c r="S33" s="9">
        <f t="shared" ref="S33" si="335">ROUND((L33*0.0075)*0.9,2)</f>
        <v>8699.92</v>
      </c>
      <c r="T33" s="9">
        <f>ROUND(L33*0.02,2)+0.02</f>
        <v>25777.56</v>
      </c>
      <c r="U33" s="9"/>
      <c r="V33" s="42">
        <f t="shared" ref="V33" si="336">E33/W33</f>
        <v>1325.3507897334664</v>
      </c>
      <c r="W33" s="10">
        <v>1013</v>
      </c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</row>
    <row r="34" spans="1:96" ht="15" customHeight="1" x14ac:dyDescent="0.25">
      <c r="A34" s="68">
        <f t="shared" si="24"/>
        <v>44212</v>
      </c>
      <c r="B34" s="9">
        <v>13237620.27</v>
      </c>
      <c r="C34" s="9">
        <v>11770743.68</v>
      </c>
      <c r="D34" s="9">
        <v>212168</v>
      </c>
      <c r="E34" s="9">
        <f t="shared" ref="E34" si="337">B34-C34-D34</f>
        <v>1254708.5899999999</v>
      </c>
      <c r="F34" s="9">
        <f>ROUND(E34*0.04,2)-0.01</f>
        <v>50188.329999999994</v>
      </c>
      <c r="G34" s="9">
        <f t="shared" ref="G34" si="338">ROUND(E34*0,2)</f>
        <v>0</v>
      </c>
      <c r="H34" s="9">
        <f t="shared" ref="H34" si="339">E34-F34-G34</f>
        <v>1204520.2599999998</v>
      </c>
      <c r="I34" s="9">
        <f t="shared" ref="I34" si="340">ROUND(H34*0,2)</f>
        <v>0</v>
      </c>
      <c r="J34" s="9">
        <f t="shared" ref="J34" si="341">ROUND((I34*0.58)+((I34*0.42)*0.1),2)</f>
        <v>0</v>
      </c>
      <c r="K34" s="9">
        <f t="shared" ref="K34" si="342">ROUND((I34*0.42)*0.9,2)</f>
        <v>0</v>
      </c>
      <c r="L34" s="69">
        <f t="shared" ref="L34" si="343">IF(J34+K34=I34,H34-I34,"ERROR")</f>
        <v>1204520.2599999998</v>
      </c>
      <c r="M34" s="9">
        <f t="shared" ref="M34" si="344">ROUND(L34*0.465,2)</f>
        <v>560101.92000000004</v>
      </c>
      <c r="N34" s="9">
        <f>ROUND(L34*0.3,2)+0.01</f>
        <v>361356.09</v>
      </c>
      <c r="O34" s="9">
        <f>ROUND(L34*0.1285,2)</f>
        <v>154780.85</v>
      </c>
      <c r="P34" s="9">
        <f t="shared" ref="P34" si="345">ROUND((L34*0.07)*0.9,2)</f>
        <v>75884.78</v>
      </c>
      <c r="Q34" s="9">
        <f>ROUND(L34*0.01,2)</f>
        <v>12045.2</v>
      </c>
      <c r="R34" s="9">
        <f t="shared" ref="R34" si="346">ROUND((L34*0.0075)*0.9,2)</f>
        <v>8130.51</v>
      </c>
      <c r="S34" s="9">
        <f t="shared" ref="S34" si="347">ROUND((L34*0.0075)*0.9,2)</f>
        <v>8130.51</v>
      </c>
      <c r="T34" s="9">
        <f>ROUND(L34*0.02,2)-0.01</f>
        <v>24090.400000000001</v>
      </c>
      <c r="U34" s="9"/>
      <c r="V34" s="42">
        <f t="shared" ref="V34" si="348">E34/W34</f>
        <v>1248.4662587064674</v>
      </c>
      <c r="W34" s="10">
        <v>1005</v>
      </c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</row>
    <row r="35" spans="1:96" ht="15" customHeight="1" x14ac:dyDescent="0.25">
      <c r="A35" s="68">
        <f t="shared" si="24"/>
        <v>44219</v>
      </c>
      <c r="B35" s="9">
        <v>12641104.34</v>
      </c>
      <c r="C35" s="9">
        <v>11220278.560000001</v>
      </c>
      <c r="D35" s="9">
        <v>174631</v>
      </c>
      <c r="E35" s="9">
        <f t="shared" ref="E35" si="349">B35-C35-D35</f>
        <v>1246194.7799999993</v>
      </c>
      <c r="F35" s="9">
        <f>ROUND(E35*0.04,2)</f>
        <v>49847.79</v>
      </c>
      <c r="G35" s="9">
        <f t="shared" ref="G35" si="350">ROUND(E35*0,2)</f>
        <v>0</v>
      </c>
      <c r="H35" s="9">
        <f t="shared" ref="H35" si="351">E35-F35-G35</f>
        <v>1196346.9899999993</v>
      </c>
      <c r="I35" s="9">
        <f t="shared" ref="I35" si="352">ROUND(H35*0,2)</f>
        <v>0</v>
      </c>
      <c r="J35" s="9">
        <f t="shared" ref="J35" si="353">ROUND((I35*0.58)+((I35*0.42)*0.1),2)</f>
        <v>0</v>
      </c>
      <c r="K35" s="9">
        <f t="shared" ref="K35" si="354">ROUND((I35*0.42)*0.9,2)</f>
        <v>0</v>
      </c>
      <c r="L35" s="69">
        <f t="shared" ref="L35" si="355">IF(J35+K35=I35,H35-I35,"ERROR")</f>
        <v>1196346.9899999993</v>
      </c>
      <c r="M35" s="9">
        <f t="shared" ref="M35" si="356">ROUND(L35*0.465,2)</f>
        <v>556301.35</v>
      </c>
      <c r="N35" s="9">
        <f>ROUND(L35*0.3,2)+0.05</f>
        <v>358904.14999999997</v>
      </c>
      <c r="O35" s="9">
        <f>ROUND(L35*0.1285,2)-0.02</f>
        <v>153730.57</v>
      </c>
      <c r="P35" s="9">
        <f t="shared" ref="P35" si="357">ROUND((L35*0.07)*0.9,2)</f>
        <v>75369.86</v>
      </c>
      <c r="Q35" s="9">
        <f>ROUND(L35*0.01,2)-0.01</f>
        <v>11963.46</v>
      </c>
      <c r="R35" s="9">
        <f t="shared" ref="R35" si="358">ROUND((L35*0.0075)*0.9,2)</f>
        <v>8075.34</v>
      </c>
      <c r="S35" s="9">
        <f t="shared" ref="S35" si="359">ROUND((L35*0.0075)*0.9,2)</f>
        <v>8075.34</v>
      </c>
      <c r="T35" s="9">
        <f>ROUND(L35*0.02,2)-0.02</f>
        <v>23926.92</v>
      </c>
      <c r="U35" s="9"/>
      <c r="V35" s="42">
        <f t="shared" ref="V35" si="360">E35/W35</f>
        <v>1225.3635988200583</v>
      </c>
      <c r="W35" s="10">
        <v>1017</v>
      </c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</row>
    <row r="36" spans="1:96" ht="15" customHeight="1" x14ac:dyDescent="0.25">
      <c r="A36" s="68">
        <f t="shared" si="24"/>
        <v>44226</v>
      </c>
      <c r="B36" s="9">
        <v>13527618.66</v>
      </c>
      <c r="C36" s="9">
        <v>11988783.57</v>
      </c>
      <c r="D36" s="9">
        <v>223139</v>
      </c>
      <c r="E36" s="9">
        <f t="shared" ref="E36" si="361">B36-C36-D36</f>
        <v>1315696.0899999999</v>
      </c>
      <c r="F36" s="9">
        <f>ROUND(E36*0.04,2)</f>
        <v>52627.839999999997</v>
      </c>
      <c r="G36" s="9">
        <f t="shared" ref="G36" si="362">ROUND(E36*0,2)</f>
        <v>0</v>
      </c>
      <c r="H36" s="9">
        <f t="shared" ref="H36" si="363">E36-F36-G36</f>
        <v>1263068.2499999998</v>
      </c>
      <c r="I36" s="9">
        <f t="shared" ref="I36" si="364">ROUND(H36*0,2)</f>
        <v>0</v>
      </c>
      <c r="J36" s="9">
        <f t="shared" ref="J36" si="365">ROUND((I36*0.58)+((I36*0.42)*0.1),2)</f>
        <v>0</v>
      </c>
      <c r="K36" s="9">
        <f t="shared" ref="K36" si="366">ROUND((I36*0.42)*0.9,2)</f>
        <v>0</v>
      </c>
      <c r="L36" s="69">
        <f t="shared" ref="L36" si="367">IF(J36+K36=I36,H36-I36,"ERROR")</f>
        <v>1263068.2499999998</v>
      </c>
      <c r="M36" s="9">
        <f t="shared" ref="M36" si="368">ROUND(L36*0.465,2)</f>
        <v>587326.74</v>
      </c>
      <c r="N36" s="9">
        <f>ROUND(L36*0.3,2)</f>
        <v>378920.48</v>
      </c>
      <c r="O36" s="9">
        <f>ROUND(L36*0.1285,2)</f>
        <v>162304.26999999999</v>
      </c>
      <c r="P36" s="9">
        <f t="shared" ref="P36" si="369">ROUND((L36*0.07)*0.9,2)</f>
        <v>79573.3</v>
      </c>
      <c r="Q36" s="9">
        <f>ROUND(L36*0.01,2)</f>
        <v>12630.68</v>
      </c>
      <c r="R36" s="9">
        <f t="shared" ref="R36" si="370">ROUND((L36*0.0075)*0.9,2)</f>
        <v>8525.7099999999991</v>
      </c>
      <c r="S36" s="9">
        <f t="shared" ref="S36" si="371">ROUND((L36*0.0075)*0.9,2)</f>
        <v>8525.7099999999991</v>
      </c>
      <c r="T36" s="9">
        <f>ROUND(L36*0.02,2)-0.01</f>
        <v>25261.360000000001</v>
      </c>
      <c r="U36" s="9"/>
      <c r="V36" s="42">
        <f t="shared" ref="V36" si="372">E36/W36</f>
        <v>1273.6651403678604</v>
      </c>
      <c r="W36" s="10">
        <v>1033</v>
      </c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</row>
    <row r="37" spans="1:96" ht="15" customHeight="1" x14ac:dyDescent="0.25">
      <c r="A37" s="68">
        <f t="shared" si="24"/>
        <v>44233</v>
      </c>
      <c r="B37" s="9">
        <v>11377639.220000001</v>
      </c>
      <c r="C37" s="9">
        <v>10123920.01</v>
      </c>
      <c r="D37" s="9">
        <v>162158</v>
      </c>
      <c r="E37" s="9">
        <f t="shared" ref="E37" si="373">B37-C37-D37</f>
        <v>1091561.2100000009</v>
      </c>
      <c r="F37" s="9">
        <f>ROUND(E37*0.04,2)-0.02</f>
        <v>43662.43</v>
      </c>
      <c r="G37" s="9">
        <f t="shared" ref="G37" si="374">ROUND(E37*0,2)</f>
        <v>0</v>
      </c>
      <c r="H37" s="9">
        <f t="shared" ref="H37" si="375">E37-F37-G37</f>
        <v>1047898.7800000008</v>
      </c>
      <c r="I37" s="9">
        <f t="shared" ref="I37" si="376">ROUND(H37*0,2)</f>
        <v>0</v>
      </c>
      <c r="J37" s="9">
        <f t="shared" ref="J37" si="377">ROUND((I37*0.58)+((I37*0.42)*0.1),2)</f>
        <v>0</v>
      </c>
      <c r="K37" s="9">
        <f t="shared" ref="K37" si="378">ROUND((I37*0.42)*0.9,2)</f>
        <v>0</v>
      </c>
      <c r="L37" s="69">
        <f t="shared" ref="L37" si="379">IF(J37+K37=I37,H37-I37,"ERROR")</f>
        <v>1047898.7800000008</v>
      </c>
      <c r="M37" s="9">
        <f t="shared" ref="M37" si="380">ROUND(L37*0.465,2)</f>
        <v>487272.93</v>
      </c>
      <c r="N37" s="9">
        <f>ROUND(L37*0.3,2)+0.06</f>
        <v>314369.69</v>
      </c>
      <c r="O37" s="9">
        <f>ROUND(L37*0.1285,2)-0.03</f>
        <v>134654.96</v>
      </c>
      <c r="P37" s="9">
        <f t="shared" ref="P37" si="381">ROUND((L37*0.07)*0.9,2)</f>
        <v>66017.62</v>
      </c>
      <c r="Q37" s="9">
        <f>ROUND(L37*0.01,2)-0.01</f>
        <v>10478.98</v>
      </c>
      <c r="R37" s="9">
        <f t="shared" ref="R37" si="382">ROUND((L37*0.0075)*0.9,2)</f>
        <v>7073.32</v>
      </c>
      <c r="S37" s="9">
        <f t="shared" ref="S37" si="383">ROUND((L37*0.0075)*0.9,2)</f>
        <v>7073.32</v>
      </c>
      <c r="T37" s="9">
        <f>ROUND(L37*0.02,2)-0.02</f>
        <v>20957.96</v>
      </c>
      <c r="U37" s="9"/>
      <c r="V37" s="42">
        <f t="shared" ref="V37" si="384">E37/W37</f>
        <v>1062.8638851022404</v>
      </c>
      <c r="W37" s="10">
        <v>1027</v>
      </c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</row>
    <row r="38" spans="1:96" ht="15" customHeight="1" x14ac:dyDescent="0.25">
      <c r="A38" s="68">
        <f t="shared" si="24"/>
        <v>44240</v>
      </c>
      <c r="B38" s="9">
        <v>13293610.669999998</v>
      </c>
      <c r="C38" s="9">
        <v>11857135.23</v>
      </c>
      <c r="D38" s="9">
        <v>219320</v>
      </c>
      <c r="E38" s="9">
        <f t="shared" ref="E38" si="385">B38-C38-D38</f>
        <v>1217155.4399999976</v>
      </c>
      <c r="F38" s="9">
        <f>ROUND(E38*0.04,2)-0.01</f>
        <v>48686.21</v>
      </c>
      <c r="G38" s="9">
        <f t="shared" ref="G38" si="386">ROUND(E38*0,2)</f>
        <v>0</v>
      </c>
      <c r="H38" s="9">
        <f t="shared" ref="H38" si="387">E38-F38-G38</f>
        <v>1168469.2299999977</v>
      </c>
      <c r="I38" s="9">
        <f t="shared" ref="I38" si="388">ROUND(H38*0,2)</f>
        <v>0</v>
      </c>
      <c r="J38" s="9">
        <f t="shared" ref="J38" si="389">ROUND((I38*0.58)+((I38*0.42)*0.1),2)</f>
        <v>0</v>
      </c>
      <c r="K38" s="9">
        <f t="shared" ref="K38" si="390">ROUND((I38*0.42)*0.9,2)</f>
        <v>0</v>
      </c>
      <c r="L38" s="69">
        <f t="shared" ref="L38" si="391">IF(J38+K38=I38,H38-I38,"ERROR")</f>
        <v>1168469.2299999977</v>
      </c>
      <c r="M38" s="9">
        <f t="shared" ref="M38" si="392">ROUND(L38*0.465,2)</f>
        <v>543338.18999999994</v>
      </c>
      <c r="N38" s="9">
        <f>ROUND(L38*0.3,2)-0.05</f>
        <v>350540.72000000003</v>
      </c>
      <c r="O38" s="9">
        <f>ROUND(L38*0.1285,2)+0.02</f>
        <v>150148.31999999998</v>
      </c>
      <c r="P38" s="9">
        <f t="shared" ref="P38" si="393">ROUND((L38*0.07)*0.9,2)</f>
        <v>73613.56</v>
      </c>
      <c r="Q38" s="9">
        <f>ROUND(L38*0.01,2)+0.01</f>
        <v>11684.7</v>
      </c>
      <c r="R38" s="9">
        <f t="shared" ref="R38" si="394">ROUND((L38*0.0075)*0.9,2)</f>
        <v>7887.17</v>
      </c>
      <c r="S38" s="9">
        <f t="shared" ref="S38" si="395">ROUND((L38*0.0075)*0.9,2)</f>
        <v>7887.17</v>
      </c>
      <c r="T38" s="9">
        <f>ROUND(L38*0.02,2)+0.02</f>
        <v>23369.4</v>
      </c>
      <c r="U38" s="9"/>
      <c r="V38" s="42">
        <f t="shared" ref="V38" si="396">E38/W38</f>
        <v>1177.1329206963226</v>
      </c>
      <c r="W38" s="10">
        <v>1034</v>
      </c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</row>
    <row r="39" spans="1:96" ht="15" customHeight="1" x14ac:dyDescent="0.25">
      <c r="A39" s="68">
        <f t="shared" si="24"/>
        <v>44247</v>
      </c>
      <c r="B39" s="9">
        <v>11204036.289999999</v>
      </c>
      <c r="C39" s="9">
        <v>9999393.8200000003</v>
      </c>
      <c r="D39" s="9">
        <v>162198</v>
      </c>
      <c r="E39" s="9">
        <f t="shared" ref="E39" si="397">B39-C39-D39</f>
        <v>1042444.4699999988</v>
      </c>
      <c r="F39" s="9">
        <f>ROUND(E39*0.04,2)</f>
        <v>41697.78</v>
      </c>
      <c r="G39" s="9">
        <f t="shared" ref="G39" si="398">ROUND(E39*0,2)</f>
        <v>0</v>
      </c>
      <c r="H39" s="9">
        <f t="shared" ref="H39" si="399">E39-F39-G39</f>
        <v>1000746.6899999988</v>
      </c>
      <c r="I39" s="9">
        <f t="shared" ref="I39" si="400">ROUND(H39*0,2)</f>
        <v>0</v>
      </c>
      <c r="J39" s="9">
        <f t="shared" ref="J39" si="401">ROUND((I39*0.58)+((I39*0.42)*0.1),2)</f>
        <v>0</v>
      </c>
      <c r="K39" s="9">
        <f t="shared" ref="K39" si="402">ROUND((I39*0.42)*0.9,2)</f>
        <v>0</v>
      </c>
      <c r="L39" s="69">
        <f t="shared" ref="L39" si="403">IF(J39+K39=I39,H39-I39,"ERROR")</f>
        <v>1000746.6899999988</v>
      </c>
      <c r="M39" s="9">
        <f t="shared" ref="M39" si="404">ROUND(L39*0.465,2)</f>
        <v>465347.21</v>
      </c>
      <c r="N39" s="9">
        <f>ROUND(L39*0.3,2)+0.03</f>
        <v>300224.04000000004</v>
      </c>
      <c r="O39" s="9">
        <f>ROUND(L39*0.1285,2)-0.01</f>
        <v>128595.94</v>
      </c>
      <c r="P39" s="9">
        <f t="shared" ref="P39" si="405">ROUND((L39*0.07)*0.9,2)</f>
        <v>63047.040000000001</v>
      </c>
      <c r="Q39" s="9">
        <f>ROUND(L39*0.01,2)-0.01</f>
        <v>10007.459999999999</v>
      </c>
      <c r="R39" s="9">
        <f t="shared" ref="R39" si="406">ROUND((L39*0.0075)*0.9,2)</f>
        <v>6755.04</v>
      </c>
      <c r="S39" s="9">
        <f t="shared" ref="S39" si="407">ROUND((L39*0.0075)*0.9,2)</f>
        <v>6755.04</v>
      </c>
      <c r="T39" s="9">
        <f>ROUND(L39*0.02,2)-0.01</f>
        <v>20014.920000000002</v>
      </c>
      <c r="U39" s="9"/>
      <c r="V39" s="42">
        <f t="shared" ref="V39" si="408">E39/W39</f>
        <v>1074.6850206185554</v>
      </c>
      <c r="W39" s="10">
        <v>970</v>
      </c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</row>
    <row r="40" spans="1:96" ht="15" customHeight="1" x14ac:dyDescent="0.25">
      <c r="A40" s="68">
        <f t="shared" si="24"/>
        <v>44254</v>
      </c>
      <c r="B40" s="9">
        <v>15377450.279999999</v>
      </c>
      <c r="C40" s="9">
        <v>13771958.719999999</v>
      </c>
      <c r="D40" s="9">
        <v>240685</v>
      </c>
      <c r="E40" s="9">
        <f t="shared" ref="E40" si="409">B40-C40-D40</f>
        <v>1364806.5600000005</v>
      </c>
      <c r="F40" s="9">
        <f>ROUND(E40*0.04,2)-0.01</f>
        <v>54592.25</v>
      </c>
      <c r="G40" s="9">
        <f t="shared" ref="G40" si="410">ROUND(E40*0,2)</f>
        <v>0</v>
      </c>
      <c r="H40" s="9">
        <f t="shared" ref="H40" si="411">E40-F40-G40</f>
        <v>1310214.3100000005</v>
      </c>
      <c r="I40" s="9">
        <f t="shared" ref="I40" si="412">ROUND(H40*0,2)</f>
        <v>0</v>
      </c>
      <c r="J40" s="9">
        <f t="shared" ref="J40" si="413">ROUND((I40*0.58)+((I40*0.42)*0.1),2)</f>
        <v>0</v>
      </c>
      <c r="K40" s="9">
        <f t="shared" ref="K40" si="414">ROUND((I40*0.42)*0.9,2)</f>
        <v>0</v>
      </c>
      <c r="L40" s="69">
        <f t="shared" ref="L40" si="415">IF(J40+K40=I40,H40-I40,"ERROR")</f>
        <v>1310214.3100000005</v>
      </c>
      <c r="M40" s="9">
        <f t="shared" ref="M40" si="416">ROUND(L40*0.465,2)</f>
        <v>609249.65</v>
      </c>
      <c r="N40" s="9">
        <f>ROUND(L40*0.3,2)+0.03</f>
        <v>393064.32</v>
      </c>
      <c r="O40" s="9">
        <f>ROUND(L40*0.1285,2)-0.02</f>
        <v>168362.52000000002</v>
      </c>
      <c r="P40" s="9">
        <f t="shared" ref="P40" si="417">ROUND((L40*0.07)*0.9,2)</f>
        <v>82543.5</v>
      </c>
      <c r="Q40" s="9">
        <f>ROUND(L40*0.01,2)</f>
        <v>13102.14</v>
      </c>
      <c r="R40" s="9">
        <f t="shared" ref="R40" si="418">ROUND((L40*0.0075)*0.9,2)</f>
        <v>8843.9500000000007</v>
      </c>
      <c r="S40" s="9">
        <f t="shared" ref="S40" si="419">ROUND((L40*0.0075)*0.9,2)</f>
        <v>8843.9500000000007</v>
      </c>
      <c r="T40" s="9">
        <f>ROUND(L40*0.02,2)-0.01</f>
        <v>26204.280000000002</v>
      </c>
      <c r="U40" s="9"/>
      <c r="V40" s="42">
        <f t="shared" ref="V40" si="420">E40/W40</f>
        <v>1381.3831578947375</v>
      </c>
      <c r="W40" s="10">
        <v>988</v>
      </c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</row>
    <row r="41" spans="1:96" ht="15" customHeight="1" x14ac:dyDescent="0.25">
      <c r="A41" s="68">
        <f t="shared" si="24"/>
        <v>44261</v>
      </c>
      <c r="B41" s="9">
        <v>15745131.610000001</v>
      </c>
      <c r="C41" s="9">
        <v>13965870.880000001</v>
      </c>
      <c r="D41" s="9">
        <v>252161</v>
      </c>
      <c r="E41" s="9">
        <f t="shared" ref="E41" si="421">B41-C41-D41</f>
        <v>1527099.7300000004</v>
      </c>
      <c r="F41" s="9">
        <f>ROUND(E41*0.04,2)</f>
        <v>61083.99</v>
      </c>
      <c r="G41" s="9">
        <f t="shared" ref="G41" si="422">ROUND(E41*0,2)</f>
        <v>0</v>
      </c>
      <c r="H41" s="9">
        <f t="shared" ref="H41" si="423">E41-F41-G41</f>
        <v>1466015.7400000005</v>
      </c>
      <c r="I41" s="9">
        <f t="shared" ref="I41" si="424">ROUND(H41*0,2)</f>
        <v>0</v>
      </c>
      <c r="J41" s="9">
        <f t="shared" ref="J41" si="425">ROUND((I41*0.58)+((I41*0.42)*0.1),2)</f>
        <v>0</v>
      </c>
      <c r="K41" s="9">
        <f t="shared" ref="K41" si="426">ROUND((I41*0.42)*0.9,2)</f>
        <v>0</v>
      </c>
      <c r="L41" s="69">
        <f t="shared" ref="L41" si="427">IF(J41+K41=I41,H41-I41,"ERROR")</f>
        <v>1466015.7400000005</v>
      </c>
      <c r="M41" s="9">
        <f t="shared" ref="M41" si="428">ROUND(L41*0.465,2)</f>
        <v>681697.32</v>
      </c>
      <c r="N41" s="9">
        <f>ROUND(L41*0.3,2)-0.02</f>
        <v>439804.69999999995</v>
      </c>
      <c r="O41" s="9">
        <f>ROUND(L41*0.1285,2)+0.01</f>
        <v>188383.03</v>
      </c>
      <c r="P41" s="9">
        <f t="shared" ref="P41" si="429">ROUND((L41*0.07)*0.9,2)</f>
        <v>92358.99</v>
      </c>
      <c r="Q41" s="9">
        <f>ROUND(L41*0.01,2)</f>
        <v>14660.16</v>
      </c>
      <c r="R41" s="9">
        <f t="shared" ref="R41" si="430">ROUND((L41*0.0075)*0.9,2)</f>
        <v>9895.61</v>
      </c>
      <c r="S41" s="9">
        <f t="shared" ref="S41" si="431">ROUND((L41*0.0075)*0.9,2)</f>
        <v>9895.61</v>
      </c>
      <c r="T41" s="9">
        <f>ROUND(L41*0.02,2)+0.01</f>
        <v>29320.32</v>
      </c>
      <c r="U41" s="9"/>
      <c r="V41" s="42">
        <f t="shared" ref="V41" si="432">E41/W41</f>
        <v>1507.5022013820339</v>
      </c>
      <c r="W41" s="10">
        <v>1013</v>
      </c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</row>
    <row r="42" spans="1:96" ht="15" customHeight="1" x14ac:dyDescent="0.25">
      <c r="A42" s="68">
        <f t="shared" si="24"/>
        <v>44268</v>
      </c>
      <c r="B42" s="9">
        <v>14573251.300000001</v>
      </c>
      <c r="C42" s="9">
        <v>12946735.49</v>
      </c>
      <c r="D42" s="9">
        <v>210514</v>
      </c>
      <c r="E42" s="9">
        <f t="shared" ref="E42" si="433">B42-C42-D42</f>
        <v>1416001.8100000005</v>
      </c>
      <c r="F42" s="9">
        <f>ROUND(E42*0.04,2)</f>
        <v>56640.07</v>
      </c>
      <c r="G42" s="9">
        <f t="shared" ref="G42" si="434">ROUND(E42*0,2)</f>
        <v>0</v>
      </c>
      <c r="H42" s="9">
        <f t="shared" ref="H42" si="435">E42-F42-G42</f>
        <v>1359361.7400000005</v>
      </c>
      <c r="I42" s="9">
        <f t="shared" ref="I42" si="436">ROUND(H42*0,2)</f>
        <v>0</v>
      </c>
      <c r="J42" s="9">
        <f t="shared" ref="J42" si="437">ROUND((I42*0.58)+((I42*0.42)*0.1),2)</f>
        <v>0</v>
      </c>
      <c r="K42" s="9">
        <f t="shared" ref="K42" si="438">ROUND((I42*0.42)*0.9,2)</f>
        <v>0</v>
      </c>
      <c r="L42" s="69">
        <f t="shared" ref="L42" si="439">IF(J42+K42=I42,H42-I42,"ERROR")</f>
        <v>1359361.7400000005</v>
      </c>
      <c r="M42" s="9">
        <f t="shared" ref="M42" si="440">ROUND(L42*0.465,2)</f>
        <v>632103.21</v>
      </c>
      <c r="N42" s="9">
        <f>ROUND(L42*0.3,2)</f>
        <v>407808.52</v>
      </c>
      <c r="O42" s="9">
        <f>ROUND(L42*0.1285,2)</f>
        <v>174677.98</v>
      </c>
      <c r="P42" s="9">
        <f t="shared" ref="P42" si="441">ROUND((L42*0.07)*0.9,2)</f>
        <v>85639.79</v>
      </c>
      <c r="Q42" s="9">
        <f>ROUND(L42*0.01,2)</f>
        <v>13593.62</v>
      </c>
      <c r="R42" s="9">
        <f t="shared" ref="R42" si="442">ROUND((L42*0.0075)*0.9,2)</f>
        <v>9175.69</v>
      </c>
      <c r="S42" s="9">
        <f t="shared" ref="S42" si="443">ROUND((L42*0.0075)*0.9,2)</f>
        <v>9175.69</v>
      </c>
      <c r="T42" s="9">
        <f>ROUND(L42*0.02,2)+0.01</f>
        <v>27187.239999999998</v>
      </c>
      <c r="U42" s="9"/>
      <c r="V42" s="42">
        <f t="shared" ref="V42" si="444">E42/W42</f>
        <v>1389.5994210009819</v>
      </c>
      <c r="W42" s="10">
        <v>1019</v>
      </c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</row>
    <row r="43" spans="1:96" ht="15" customHeight="1" x14ac:dyDescent="0.25">
      <c r="A43" s="68">
        <f t="shared" si="24"/>
        <v>44275</v>
      </c>
      <c r="B43" s="9">
        <v>19914295.390000001</v>
      </c>
      <c r="C43" s="9">
        <v>17711045.130000003</v>
      </c>
      <c r="D43" s="9">
        <v>276670</v>
      </c>
      <c r="E43" s="9">
        <f t="shared" ref="E43" si="445">B43-C43-D43</f>
        <v>1926580.2599999979</v>
      </c>
      <c r="F43" s="9">
        <f>ROUND(E43*0.04,2)</f>
        <v>77063.210000000006</v>
      </c>
      <c r="G43" s="9">
        <f t="shared" ref="G43" si="446">ROUND(E43*0,2)</f>
        <v>0</v>
      </c>
      <c r="H43" s="9">
        <f t="shared" ref="H43" si="447">E43-F43-G43</f>
        <v>1849517.049999998</v>
      </c>
      <c r="I43" s="9">
        <f t="shared" ref="I43" si="448">ROUND(H43*0,2)</f>
        <v>0</v>
      </c>
      <c r="J43" s="9">
        <f t="shared" ref="J43" si="449">ROUND((I43*0.58)+((I43*0.42)*0.1),2)</f>
        <v>0</v>
      </c>
      <c r="K43" s="9">
        <f t="shared" ref="K43" si="450">ROUND((I43*0.42)*0.9,2)</f>
        <v>0</v>
      </c>
      <c r="L43" s="69">
        <f t="shared" ref="L43" si="451">IF(J43+K43=I43,H43-I43,"ERROR")</f>
        <v>1849517.049999998</v>
      </c>
      <c r="M43" s="9">
        <f t="shared" ref="M43" si="452">ROUND(L43*0.465,2)</f>
        <v>860025.43</v>
      </c>
      <c r="N43" s="9">
        <f>ROUND(L43*0.3,2)-0.05</f>
        <v>554855.05999999994</v>
      </c>
      <c r="O43" s="9">
        <f>ROUND(L43*0.1285,2)+0.03</f>
        <v>237662.97</v>
      </c>
      <c r="P43" s="9">
        <f t="shared" ref="P43" si="453">ROUND((L43*0.07)*0.9,2)</f>
        <v>116519.57</v>
      </c>
      <c r="Q43" s="9">
        <f>ROUND(L43*0.01,2)+0.01</f>
        <v>18495.179999999997</v>
      </c>
      <c r="R43" s="9">
        <f t="shared" ref="R43" si="454">ROUND((L43*0.0075)*0.9,2)</f>
        <v>12484.24</v>
      </c>
      <c r="S43" s="9">
        <f t="shared" ref="S43" si="455">ROUND((L43*0.0075)*0.9,2)</f>
        <v>12484.24</v>
      </c>
      <c r="T43" s="9">
        <f>ROUND(L43*0.02,2)+0.02</f>
        <v>36990.359999999993</v>
      </c>
      <c r="U43" s="9"/>
      <c r="V43" s="42">
        <f t="shared" ref="V43" si="456">E43/W43</f>
        <v>1886.954221351614</v>
      </c>
      <c r="W43" s="10">
        <v>1021</v>
      </c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</row>
    <row r="44" spans="1:96" ht="15" customHeight="1" x14ac:dyDescent="0.25">
      <c r="A44" s="68">
        <f t="shared" si="24"/>
        <v>44282</v>
      </c>
      <c r="B44" s="9">
        <v>17878723.879999999</v>
      </c>
      <c r="C44" s="9">
        <v>15939603.880000001</v>
      </c>
      <c r="D44" s="9">
        <v>213117</v>
      </c>
      <c r="E44" s="9">
        <f t="shared" ref="E44" si="457">B44-C44-D44</f>
        <v>1726002.9999999981</v>
      </c>
      <c r="F44" s="9">
        <f>ROUND(E44*0.04,2)+0.01</f>
        <v>69040.12999999999</v>
      </c>
      <c r="G44" s="9">
        <f t="shared" ref="G44" si="458">ROUND(E44*0,2)</f>
        <v>0</v>
      </c>
      <c r="H44" s="9">
        <f t="shared" ref="H44" si="459">E44-F44-G44</f>
        <v>1656962.8699999982</v>
      </c>
      <c r="I44" s="9">
        <f t="shared" ref="I44" si="460">ROUND(H44*0,2)</f>
        <v>0</v>
      </c>
      <c r="J44" s="9">
        <f t="shared" ref="J44" si="461">ROUND((I44*0.58)+((I44*0.42)*0.1),2)</f>
        <v>0</v>
      </c>
      <c r="K44" s="9">
        <f t="shared" ref="K44" si="462">ROUND((I44*0.42)*0.9,2)</f>
        <v>0</v>
      </c>
      <c r="L44" s="69">
        <f t="shared" ref="L44" si="463">IF(J44+K44=I44,H44-I44,"ERROR")</f>
        <v>1656962.8699999982</v>
      </c>
      <c r="M44" s="9">
        <f t="shared" ref="M44" si="464">ROUND(L44*0.465,2)</f>
        <v>770487.73</v>
      </c>
      <c r="N44" s="9">
        <f>ROUND(L44*0.3,2)+0.06</f>
        <v>497088.92</v>
      </c>
      <c r="O44" s="9">
        <f>ROUND(L44*0.1285,2)-0.03</f>
        <v>212919.7</v>
      </c>
      <c r="P44" s="9">
        <f t="shared" ref="P44" si="465">ROUND((L44*0.07)*0.9,2)</f>
        <v>104388.66</v>
      </c>
      <c r="Q44" s="9">
        <f>ROUND(L44*0.01,2)-0.01</f>
        <v>16569.620000000003</v>
      </c>
      <c r="R44" s="9">
        <f t="shared" ref="R44" si="466">ROUND((L44*0.0075)*0.9,2)</f>
        <v>11184.5</v>
      </c>
      <c r="S44" s="9">
        <f t="shared" ref="S44" si="467">ROUND((L44*0.0075)*0.9,2)</f>
        <v>11184.5</v>
      </c>
      <c r="T44" s="9">
        <f>ROUND(L44*0.02,2)-0.02</f>
        <v>33139.240000000005</v>
      </c>
      <c r="U44" s="9"/>
      <c r="V44" s="42">
        <f t="shared" ref="V44" si="468">E44/W44</f>
        <v>1688.8483365949101</v>
      </c>
      <c r="W44" s="10">
        <v>1022</v>
      </c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</row>
    <row r="45" spans="1:96" ht="15" customHeight="1" x14ac:dyDescent="0.25">
      <c r="A45" s="68">
        <f t="shared" si="24"/>
        <v>44289</v>
      </c>
      <c r="B45" s="9">
        <v>18850586.969999999</v>
      </c>
      <c r="C45" s="9">
        <v>16706963.929999998</v>
      </c>
      <c r="D45" s="9">
        <v>253598</v>
      </c>
      <c r="E45" s="9">
        <f t="shared" ref="E45" si="469">B45-C45-D45</f>
        <v>1890025.040000001</v>
      </c>
      <c r="F45" s="9">
        <f>ROUND(E45*0.04,2)</f>
        <v>75601</v>
      </c>
      <c r="G45" s="9">
        <f t="shared" ref="G45" si="470">ROUND(E45*0,2)</f>
        <v>0</v>
      </c>
      <c r="H45" s="9">
        <f t="shared" ref="H45" si="471">E45-F45-G45</f>
        <v>1814424.040000001</v>
      </c>
      <c r="I45" s="9">
        <f t="shared" ref="I45" si="472">ROUND(H45*0,2)</f>
        <v>0</v>
      </c>
      <c r="J45" s="9">
        <f t="shared" ref="J45" si="473">ROUND((I45*0.58)+((I45*0.42)*0.1),2)</f>
        <v>0</v>
      </c>
      <c r="K45" s="9">
        <f t="shared" ref="K45" si="474">ROUND((I45*0.42)*0.9,2)</f>
        <v>0</v>
      </c>
      <c r="L45" s="69">
        <f t="shared" ref="L45" si="475">IF(J45+K45=I45,H45-I45,"ERROR")</f>
        <v>1814424.040000001</v>
      </c>
      <c r="M45" s="9">
        <f t="shared" ref="M45" si="476">ROUND(L45*0.465,2)</f>
        <v>843707.18</v>
      </c>
      <c r="N45" s="9">
        <f>ROUND(L45*0.3,2)</f>
        <v>544327.21</v>
      </c>
      <c r="O45" s="9">
        <f>ROUND(L45*0.1285,2)+0.01</f>
        <v>233153.5</v>
      </c>
      <c r="P45" s="9">
        <f t="shared" ref="P45" si="477">ROUND((L45*0.07)*0.9,2)</f>
        <v>114308.71</v>
      </c>
      <c r="Q45" s="9">
        <f>ROUND(L45*0.01,2)</f>
        <v>18144.240000000002</v>
      </c>
      <c r="R45" s="9">
        <f t="shared" ref="R45" si="478">ROUND((L45*0.0075)*0.9,2)</f>
        <v>12247.36</v>
      </c>
      <c r="S45" s="9">
        <f t="shared" ref="S45" si="479">ROUND((L45*0.0075)*0.9,2)</f>
        <v>12247.36</v>
      </c>
      <c r="T45" s="9">
        <f>ROUND(L45*0.02,2)</f>
        <v>36288.480000000003</v>
      </c>
      <c r="U45" s="9"/>
      <c r="V45" s="42">
        <f t="shared" ref="V45" si="480">E45/W45</f>
        <v>1860.2608661417332</v>
      </c>
      <c r="W45" s="10">
        <v>1016</v>
      </c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</row>
    <row r="46" spans="1:96" ht="15" customHeight="1" x14ac:dyDescent="0.25">
      <c r="A46" s="68">
        <f t="shared" si="24"/>
        <v>44296</v>
      </c>
      <c r="B46" s="9">
        <v>17657857.260000002</v>
      </c>
      <c r="C46" s="9">
        <v>15724822.66</v>
      </c>
      <c r="D46" s="9">
        <v>203020</v>
      </c>
      <c r="E46" s="9">
        <f t="shared" ref="E46" si="481">B46-C46-D46</f>
        <v>1730014.6000000015</v>
      </c>
      <c r="F46" s="9">
        <f>ROUND(E46*0.04,2)+0.01</f>
        <v>69200.59</v>
      </c>
      <c r="G46" s="9">
        <f t="shared" ref="G46" si="482">ROUND(E46*0,2)</f>
        <v>0</v>
      </c>
      <c r="H46" s="9">
        <f t="shared" ref="H46" si="483">E46-F46-G46</f>
        <v>1660814.0100000014</v>
      </c>
      <c r="I46" s="9">
        <f t="shared" ref="I46" si="484">ROUND(H46*0,2)</f>
        <v>0</v>
      </c>
      <c r="J46" s="9">
        <f t="shared" ref="J46" si="485">ROUND((I46*0.58)+((I46*0.42)*0.1),2)</f>
        <v>0</v>
      </c>
      <c r="K46" s="9">
        <f t="shared" ref="K46" si="486">ROUND((I46*0.42)*0.9,2)</f>
        <v>0</v>
      </c>
      <c r="L46" s="69">
        <f t="shared" ref="L46" si="487">IF(J46+K46=I46,H46-I46,"ERROR")</f>
        <v>1660814.0100000014</v>
      </c>
      <c r="M46" s="9">
        <f t="shared" ref="M46" si="488">ROUND(L46*0.465,2)</f>
        <v>772278.51</v>
      </c>
      <c r="N46" s="9">
        <f>ROUND(L46*0.3,2)</f>
        <v>498244.2</v>
      </c>
      <c r="O46" s="9">
        <f>ROUND(L46*0.1285,2)+0.02</f>
        <v>213414.62</v>
      </c>
      <c r="P46" s="9">
        <f t="shared" ref="P46" si="489">ROUND((L46*0.07)*0.9,2)</f>
        <v>104631.28</v>
      </c>
      <c r="Q46" s="9">
        <f>ROUND(L46*0.01,2)</f>
        <v>16608.14</v>
      </c>
      <c r="R46" s="9">
        <f t="shared" ref="R46" si="490">ROUND((L46*0.0075)*0.9,2)</f>
        <v>11210.49</v>
      </c>
      <c r="S46" s="9">
        <f t="shared" ref="S46" si="491">ROUND((L46*0.0075)*0.9,2)</f>
        <v>11210.49</v>
      </c>
      <c r="T46" s="9">
        <f>ROUND(L46*0.02,2)</f>
        <v>33216.28</v>
      </c>
      <c r="U46" s="9"/>
      <c r="V46" s="42">
        <f t="shared" ref="V46" si="492">E46/W46</f>
        <v>1687.8191219512209</v>
      </c>
      <c r="W46" s="10">
        <v>1025</v>
      </c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</row>
    <row r="47" spans="1:96" ht="15" customHeight="1" x14ac:dyDescent="0.25">
      <c r="A47" s="68">
        <f t="shared" si="24"/>
        <v>44303</v>
      </c>
      <c r="B47" s="9">
        <v>18140800.629999999</v>
      </c>
      <c r="C47" s="9">
        <v>15977607.440000001</v>
      </c>
      <c r="D47" s="9">
        <v>253021</v>
      </c>
      <c r="E47" s="9">
        <f t="shared" ref="E47" si="493">B47-C47-D47</f>
        <v>1910172.1899999976</v>
      </c>
      <c r="F47" s="9">
        <f>ROUND(E47*0.04,2)+0.02</f>
        <v>76406.91</v>
      </c>
      <c r="G47" s="9">
        <f t="shared" ref="G47" si="494">ROUND(E47*0,2)</f>
        <v>0</v>
      </c>
      <c r="H47" s="9">
        <f t="shared" ref="H47" si="495">E47-F47-G47</f>
        <v>1833765.2799999977</v>
      </c>
      <c r="I47" s="9">
        <f t="shared" ref="I47" si="496">ROUND(H47*0,2)</f>
        <v>0</v>
      </c>
      <c r="J47" s="9">
        <f t="shared" ref="J47" si="497">ROUND((I47*0.58)+((I47*0.42)*0.1),2)</f>
        <v>0</v>
      </c>
      <c r="K47" s="9">
        <f t="shared" ref="K47" si="498">ROUND((I47*0.42)*0.9,2)</f>
        <v>0</v>
      </c>
      <c r="L47" s="69">
        <f t="shared" ref="L47" si="499">IF(J47+K47=I47,H47-I47,"ERROR")</f>
        <v>1833765.2799999977</v>
      </c>
      <c r="M47" s="9">
        <f t="shared" ref="M47" si="500">ROUND(L47*0.465,2)</f>
        <v>852700.86</v>
      </c>
      <c r="N47" s="9">
        <f>ROUND(L47*0.3,2)-0.04</f>
        <v>550129.53999999992</v>
      </c>
      <c r="O47" s="9">
        <f>ROUND(L47*0.1285,2)+0.01</f>
        <v>235638.85</v>
      </c>
      <c r="P47" s="9">
        <f t="shared" ref="P47" si="501">ROUND((L47*0.07)*0.9,2)</f>
        <v>115527.21</v>
      </c>
      <c r="Q47" s="9">
        <f>ROUND(L47*0.01,2)+0.01</f>
        <v>18337.66</v>
      </c>
      <c r="R47" s="9">
        <f t="shared" ref="R47" si="502">ROUND((L47*0.0075)*0.9,2)</f>
        <v>12377.92</v>
      </c>
      <c r="S47" s="9">
        <f t="shared" ref="S47" si="503">ROUND((L47*0.0075)*0.9,2)</f>
        <v>12377.92</v>
      </c>
      <c r="T47" s="9">
        <f>ROUND(L47*0.02,2)+0.01</f>
        <v>36675.32</v>
      </c>
      <c r="U47" s="9"/>
      <c r="V47" s="42">
        <f t="shared" ref="V47" si="504">E47/W47</f>
        <v>1874.5556329735011</v>
      </c>
      <c r="W47" s="10">
        <v>1019</v>
      </c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</row>
    <row r="48" spans="1:96" ht="15" customHeight="1" x14ac:dyDescent="0.25">
      <c r="A48" s="68">
        <f t="shared" si="24"/>
        <v>44310</v>
      </c>
      <c r="B48" s="9">
        <v>16422398.129999999</v>
      </c>
      <c r="C48" s="9">
        <v>14558342.200000001</v>
      </c>
      <c r="D48" s="9">
        <v>200091</v>
      </c>
      <c r="E48" s="9">
        <f t="shared" ref="E48" si="505">B48-C48-D48</f>
        <v>1663964.9299999978</v>
      </c>
      <c r="F48" s="9">
        <f>ROUND(E48*0.04,2)-0.01</f>
        <v>66558.590000000011</v>
      </c>
      <c r="G48" s="9">
        <f t="shared" ref="G48" si="506">ROUND(E48*0,2)</f>
        <v>0</v>
      </c>
      <c r="H48" s="9">
        <f t="shared" ref="H48" si="507">E48-F48-G48</f>
        <v>1597406.3399999978</v>
      </c>
      <c r="I48" s="9">
        <f t="shared" ref="I48" si="508">ROUND(H48*0,2)</f>
        <v>0</v>
      </c>
      <c r="J48" s="9">
        <f t="shared" ref="J48" si="509">ROUND((I48*0.58)+((I48*0.42)*0.1),2)</f>
        <v>0</v>
      </c>
      <c r="K48" s="9">
        <f t="shared" ref="K48" si="510">ROUND((I48*0.42)*0.9,2)</f>
        <v>0</v>
      </c>
      <c r="L48" s="69">
        <f t="shared" ref="L48" si="511">IF(J48+K48=I48,H48-I48,"ERROR")</f>
        <v>1597406.3399999978</v>
      </c>
      <c r="M48" s="9">
        <f t="shared" ref="M48" si="512">ROUND(L48*0.465,2)</f>
        <v>742793.95</v>
      </c>
      <c r="N48" s="9">
        <f>ROUND(L48*0.3,2)+0.02</f>
        <v>479221.92000000004</v>
      </c>
      <c r="O48" s="9">
        <f>ROUND(L48*0.1285,2)</f>
        <v>205266.71</v>
      </c>
      <c r="P48" s="9">
        <f t="shared" ref="P48" si="513">ROUND((L48*0.07)*0.9,2)</f>
        <v>100636.6</v>
      </c>
      <c r="Q48" s="9">
        <f>ROUND(L48*0.01,2)</f>
        <v>15974.06</v>
      </c>
      <c r="R48" s="9">
        <f t="shared" ref="R48" si="514">ROUND((L48*0.0075)*0.9,2)</f>
        <v>10782.49</v>
      </c>
      <c r="S48" s="9">
        <f t="shared" ref="S48" si="515">ROUND((L48*0.0075)*0.9,2)</f>
        <v>10782.49</v>
      </c>
      <c r="T48" s="9">
        <f>ROUND(L48*0.02,2)-0.01</f>
        <v>31948.120000000003</v>
      </c>
      <c r="U48" s="9"/>
      <c r="V48" s="42">
        <f t="shared" ref="V48" si="516">E48/W48</f>
        <v>1642.6109871668291</v>
      </c>
      <c r="W48" s="10">
        <v>1013</v>
      </c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</row>
    <row r="49" spans="1:96" ht="15" customHeight="1" x14ac:dyDescent="0.25">
      <c r="A49" s="68">
        <f t="shared" si="24"/>
        <v>44317</v>
      </c>
      <c r="B49" s="9">
        <v>17570579.710000001</v>
      </c>
      <c r="C49" s="9">
        <v>15585704.85</v>
      </c>
      <c r="D49" s="9">
        <v>245100</v>
      </c>
      <c r="E49" s="9">
        <f t="shared" ref="E49" si="517">B49-C49-D49</f>
        <v>1739774.8600000013</v>
      </c>
      <c r="F49" s="9">
        <f>ROUND(E49*0.04,2)+0.01</f>
        <v>69591</v>
      </c>
      <c r="G49" s="9">
        <f t="shared" ref="G49" si="518">ROUND(E49*0,2)</f>
        <v>0</v>
      </c>
      <c r="H49" s="9">
        <f t="shared" ref="H49" si="519">E49-F49-G49</f>
        <v>1670183.8600000013</v>
      </c>
      <c r="I49" s="9">
        <f t="shared" ref="I49" si="520">ROUND(H49*0,2)</f>
        <v>0</v>
      </c>
      <c r="J49" s="9">
        <f t="shared" ref="J49" si="521">ROUND((I49*0.58)+((I49*0.42)*0.1),2)</f>
        <v>0</v>
      </c>
      <c r="K49" s="9">
        <f t="shared" ref="K49" si="522">ROUND((I49*0.42)*0.9,2)</f>
        <v>0</v>
      </c>
      <c r="L49" s="69">
        <f t="shared" ref="L49" si="523">IF(J49+K49=I49,H49-I49,"ERROR")</f>
        <v>1670183.8600000013</v>
      </c>
      <c r="M49" s="9">
        <f t="shared" ref="M49" si="524">ROUND(L49*0.465,2)</f>
        <v>776635.49</v>
      </c>
      <c r="N49" s="9">
        <f>ROUND(L49*0.3,2)</f>
        <v>501055.16</v>
      </c>
      <c r="O49" s="9">
        <f>ROUND(L49*0.1285,2)</f>
        <v>214618.63</v>
      </c>
      <c r="P49" s="9">
        <f t="shared" ref="P49" si="525">ROUND((L49*0.07)*0.9,2)</f>
        <v>105221.58</v>
      </c>
      <c r="Q49" s="9">
        <f>ROUND(L49*0.01,2)</f>
        <v>16701.84</v>
      </c>
      <c r="R49" s="9">
        <f t="shared" ref="R49" si="526">ROUND((L49*0.0075)*0.9,2)</f>
        <v>11273.74</v>
      </c>
      <c r="S49" s="9">
        <f t="shared" ref="S49" si="527">ROUND((L49*0.0075)*0.9,2)</f>
        <v>11273.74</v>
      </c>
      <c r="T49" s="9">
        <f>ROUND(L49*0.02,2)</f>
        <v>33403.68</v>
      </c>
      <c r="U49" s="9"/>
      <c r="V49" s="42">
        <f t="shared" ref="V49" si="528">E49/W49</f>
        <v>1715.7542998027625</v>
      </c>
      <c r="W49" s="10">
        <v>1014</v>
      </c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</row>
    <row r="50" spans="1:96" ht="15" customHeight="1" x14ac:dyDescent="0.25">
      <c r="A50" s="68">
        <f t="shared" si="24"/>
        <v>44324</v>
      </c>
      <c r="B50" s="9">
        <v>17347760.789999999</v>
      </c>
      <c r="C50" s="9">
        <v>15517350.630000001</v>
      </c>
      <c r="D50" s="9">
        <v>214368</v>
      </c>
      <c r="E50" s="9">
        <f t="shared" ref="E50" si="529">B50-C50-D50</f>
        <v>1616042.1599999983</v>
      </c>
      <c r="F50" s="9">
        <f>ROUND(E50*0.04,2)-0.01</f>
        <v>64641.68</v>
      </c>
      <c r="G50" s="9">
        <f t="shared" ref="G50" si="530">ROUND(E50*0,2)</f>
        <v>0</v>
      </c>
      <c r="H50" s="9">
        <f t="shared" ref="H50" si="531">E50-F50-G50</f>
        <v>1551400.4799999984</v>
      </c>
      <c r="I50" s="9">
        <f t="shared" ref="I50" si="532">ROUND(H50*0,2)</f>
        <v>0</v>
      </c>
      <c r="J50" s="9">
        <f t="shared" ref="J50" si="533">ROUND((I50*0.58)+((I50*0.42)*0.1),2)</f>
        <v>0</v>
      </c>
      <c r="K50" s="9">
        <f t="shared" ref="K50" si="534">ROUND((I50*0.42)*0.9,2)</f>
        <v>0</v>
      </c>
      <c r="L50" s="69">
        <f t="shared" ref="L50" si="535">IF(J50+K50=I50,H50-I50,"ERROR")</f>
        <v>1551400.4799999984</v>
      </c>
      <c r="M50" s="9">
        <f t="shared" ref="M50" si="536">ROUND(L50*0.465,2)</f>
        <v>721401.22</v>
      </c>
      <c r="N50" s="9">
        <f>ROUND(L50*0.3,2)+0.04</f>
        <v>465420.18</v>
      </c>
      <c r="O50" s="9">
        <f>ROUND(L50*0.1285,2)-0.01</f>
        <v>199354.94999999998</v>
      </c>
      <c r="P50" s="9">
        <f t="shared" ref="P50" si="537">ROUND((L50*0.07)*0.9,2)</f>
        <v>97738.23</v>
      </c>
      <c r="Q50" s="9">
        <f>ROUND(L50*0.01,2)</f>
        <v>15514</v>
      </c>
      <c r="R50" s="9">
        <f t="shared" ref="R50" si="538">ROUND((L50*0.0075)*0.9,2)</f>
        <v>10471.950000000001</v>
      </c>
      <c r="S50" s="9">
        <f t="shared" ref="S50" si="539">ROUND((L50*0.0075)*0.9,2)</f>
        <v>10471.950000000001</v>
      </c>
      <c r="T50" s="9">
        <f>ROUND(L50*0.02,2)-0.01</f>
        <v>31028</v>
      </c>
      <c r="U50" s="9"/>
      <c r="V50" s="42">
        <f t="shared" ref="V50" si="540">E50/W50</f>
        <v>1572.0254474708154</v>
      </c>
      <c r="W50" s="10">
        <v>1028</v>
      </c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</row>
    <row r="51" spans="1:96" ht="15" customHeight="1" x14ac:dyDescent="0.25">
      <c r="A51" s="68">
        <f t="shared" si="24"/>
        <v>44331</v>
      </c>
      <c r="B51" s="9">
        <v>17000893.850000001</v>
      </c>
      <c r="C51" s="9">
        <v>15112784.23</v>
      </c>
      <c r="D51" s="9">
        <v>256040</v>
      </c>
      <c r="E51" s="9">
        <f t="shared" ref="E51" si="541">B51-C51-D51</f>
        <v>1632069.620000001</v>
      </c>
      <c r="F51" s="9">
        <f>ROUND(E51*0.04,2)+0.01</f>
        <v>65282.79</v>
      </c>
      <c r="G51" s="9">
        <f t="shared" ref="G51" si="542">ROUND(E51*0,2)</f>
        <v>0</v>
      </c>
      <c r="H51" s="9">
        <f t="shared" ref="H51" si="543">E51-F51-G51</f>
        <v>1566786.830000001</v>
      </c>
      <c r="I51" s="9">
        <f t="shared" ref="I51" si="544">ROUND(H51*0,2)</f>
        <v>0</v>
      </c>
      <c r="J51" s="9">
        <f t="shared" ref="J51" si="545">ROUND((I51*0.58)+((I51*0.42)*0.1),2)</f>
        <v>0</v>
      </c>
      <c r="K51" s="9">
        <f t="shared" ref="K51" si="546">ROUND((I51*0.42)*0.9,2)</f>
        <v>0</v>
      </c>
      <c r="L51" s="69">
        <f t="shared" ref="L51" si="547">IF(J51+K51=I51,H51-I51,"ERROR")</f>
        <v>1566786.830000001</v>
      </c>
      <c r="M51" s="9">
        <f t="shared" ref="M51" si="548">ROUND(L51*0.465,2)</f>
        <v>728555.88</v>
      </c>
      <c r="N51" s="9">
        <f>ROUND(L51*0.3,2)+0.04</f>
        <v>470036.08999999997</v>
      </c>
      <c r="O51" s="9">
        <f>ROUND(L51*0.1285,2)-0.02</f>
        <v>201332.09</v>
      </c>
      <c r="P51" s="9">
        <f t="shared" ref="P51" si="549">ROUND((L51*0.07)*0.9,2)</f>
        <v>98707.57</v>
      </c>
      <c r="Q51" s="9">
        <f>ROUND(L51*0.01,2)-0.01</f>
        <v>15667.86</v>
      </c>
      <c r="R51" s="9">
        <f t="shared" ref="R51" si="550">ROUND((L51*0.0075)*0.9,2)</f>
        <v>10575.81</v>
      </c>
      <c r="S51" s="9">
        <f t="shared" ref="S51" si="551">ROUND((L51*0.0075)*0.9,2)</f>
        <v>10575.81</v>
      </c>
      <c r="T51" s="9">
        <f>ROUND(L51*0.02,2)-0.02</f>
        <v>31335.72</v>
      </c>
      <c r="U51" s="9"/>
      <c r="V51" s="42">
        <f t="shared" ref="V51" si="552">E51/W51</f>
        <v>1581.4628100775203</v>
      </c>
      <c r="W51" s="10">
        <v>1032</v>
      </c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</row>
    <row r="52" spans="1:96" ht="15" customHeight="1" x14ac:dyDescent="0.25">
      <c r="A52" s="68">
        <f t="shared" si="24"/>
        <v>44338</v>
      </c>
      <c r="B52" s="9">
        <v>16299952.32</v>
      </c>
      <c r="C52" s="9">
        <v>14491466.73</v>
      </c>
      <c r="D52" s="9">
        <v>214393</v>
      </c>
      <c r="E52" s="9">
        <f t="shared" ref="E52" si="553">B52-C52-D52</f>
        <v>1594092.5899999999</v>
      </c>
      <c r="F52" s="9">
        <f>ROUND(E52*0.04,2)-0.01</f>
        <v>63763.689999999995</v>
      </c>
      <c r="G52" s="9">
        <f t="shared" ref="G52" si="554">ROUND(E52*0,2)</f>
        <v>0</v>
      </c>
      <c r="H52" s="9">
        <f t="shared" ref="H52" si="555">E52-F52-G52</f>
        <v>1530328.9</v>
      </c>
      <c r="I52" s="9">
        <f t="shared" ref="I52" si="556">ROUND(H52*0,2)</f>
        <v>0</v>
      </c>
      <c r="J52" s="9">
        <f t="shared" ref="J52" si="557">ROUND((I52*0.58)+((I52*0.42)*0.1),2)</f>
        <v>0</v>
      </c>
      <c r="K52" s="9">
        <f t="shared" ref="K52" si="558">ROUND((I52*0.42)*0.9,2)</f>
        <v>0</v>
      </c>
      <c r="L52" s="69">
        <f t="shared" ref="L52" si="559">IF(J52+K52=I52,H52-I52,"ERROR")</f>
        <v>1530328.9</v>
      </c>
      <c r="M52" s="9">
        <f t="shared" ref="M52" si="560">ROUND(L52*0.465,2)</f>
        <v>711602.94</v>
      </c>
      <c r="N52" s="9">
        <f>ROUND(L52*0.3,2)+0.05</f>
        <v>459098.72</v>
      </c>
      <c r="O52" s="9">
        <f>ROUND(L52*0.1285,2)-0.02</f>
        <v>196647.24000000002</v>
      </c>
      <c r="P52" s="9">
        <f t="shared" ref="P52" si="561">ROUND((L52*0.07)*0.9,2)</f>
        <v>96410.72</v>
      </c>
      <c r="Q52" s="9">
        <f>ROUND(L52*0.01,2)-0.01</f>
        <v>15303.28</v>
      </c>
      <c r="R52" s="9">
        <f t="shared" ref="R52" si="562">ROUND((L52*0.0075)*0.9,2)</f>
        <v>10329.719999999999</v>
      </c>
      <c r="S52" s="9">
        <f t="shared" ref="S52" si="563">ROUND((L52*0.0075)*0.9,2)</f>
        <v>10329.719999999999</v>
      </c>
      <c r="T52" s="9">
        <f>ROUND(L52*0.02,2)-0.02</f>
        <v>30606.560000000001</v>
      </c>
      <c r="U52" s="9"/>
      <c r="V52" s="42">
        <f t="shared" ref="V52" si="564">E52/W52</f>
        <v>1547.662708737864</v>
      </c>
      <c r="W52" s="10">
        <v>1030</v>
      </c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</row>
    <row r="53" spans="1:96" ht="15" customHeight="1" x14ac:dyDescent="0.25">
      <c r="A53" s="68">
        <f t="shared" si="24"/>
        <v>44345</v>
      </c>
      <c r="B53" s="9">
        <v>19094492.140000001</v>
      </c>
      <c r="C53" s="9">
        <v>16960260.559999999</v>
      </c>
      <c r="D53" s="9">
        <v>264808</v>
      </c>
      <c r="E53" s="9">
        <f t="shared" ref="E53" si="565">B53-C53-D53</f>
        <v>1869423.5800000019</v>
      </c>
      <c r="F53" s="9">
        <f>ROUND(E53*0.04,2)+0.01</f>
        <v>74776.95</v>
      </c>
      <c r="G53" s="9">
        <f t="shared" ref="G53" si="566">ROUND(E53*0,2)</f>
        <v>0</v>
      </c>
      <c r="H53" s="9">
        <f t="shared" ref="H53" si="567">E53-F53-G53</f>
        <v>1794646.630000002</v>
      </c>
      <c r="I53" s="9">
        <f t="shared" ref="I53" si="568">ROUND(H53*0,2)</f>
        <v>0</v>
      </c>
      <c r="J53" s="9">
        <f t="shared" ref="J53" si="569">ROUND((I53*0.58)+((I53*0.42)*0.1),2)</f>
        <v>0</v>
      </c>
      <c r="K53" s="9">
        <f t="shared" ref="K53" si="570">ROUND((I53*0.42)*0.9,2)</f>
        <v>0</v>
      </c>
      <c r="L53" s="69">
        <f t="shared" ref="L53" si="571">IF(J53+K53=I53,H53-I53,"ERROR")</f>
        <v>1794646.630000002</v>
      </c>
      <c r="M53" s="9">
        <f t="shared" ref="M53" si="572">ROUND(L53*0.465,2)</f>
        <v>834510.68</v>
      </c>
      <c r="N53" s="9">
        <f>ROUND(L53*0.3,2)+0.05</f>
        <v>538394.04</v>
      </c>
      <c r="O53" s="9">
        <f>ROUND(L53*0.1285,2)-0.02</f>
        <v>230612.07</v>
      </c>
      <c r="P53" s="9">
        <f t="shared" ref="P53" si="573">ROUND((L53*0.07)*0.9,2)</f>
        <v>113062.74</v>
      </c>
      <c r="Q53" s="9">
        <f>ROUND(L53*0.01,2)-0.01</f>
        <v>17946.460000000003</v>
      </c>
      <c r="R53" s="9">
        <f t="shared" ref="R53" si="574">ROUND((L53*0.0075)*0.9,2)</f>
        <v>12113.86</v>
      </c>
      <c r="S53" s="9">
        <f t="shared" ref="S53" si="575">ROUND((L53*0.0075)*0.9,2)</f>
        <v>12113.86</v>
      </c>
      <c r="T53" s="9">
        <f>ROUND(L53*0.02,2)-0.01</f>
        <v>35892.92</v>
      </c>
      <c r="U53" s="9"/>
      <c r="V53" s="42">
        <f t="shared" ref="V53" si="576">E53/W53</f>
        <v>1782.1006482364176</v>
      </c>
      <c r="W53" s="10">
        <v>1049</v>
      </c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</row>
    <row r="54" spans="1:96" ht="15" customHeight="1" x14ac:dyDescent="0.25">
      <c r="A54" s="68">
        <f t="shared" si="24"/>
        <v>44352</v>
      </c>
      <c r="B54" s="9">
        <v>20045029.09</v>
      </c>
      <c r="C54" s="9">
        <v>17712016.149999999</v>
      </c>
      <c r="D54" s="9">
        <v>265340</v>
      </c>
      <c r="E54" s="9">
        <f t="shared" ref="E54" si="577">B54-C54-D54</f>
        <v>2067672.9400000013</v>
      </c>
      <c r="F54" s="9">
        <f>ROUND(E54*0.04,2)-0.01</f>
        <v>82706.91</v>
      </c>
      <c r="G54" s="9">
        <f t="shared" ref="G54" si="578">ROUND(E54*0,2)</f>
        <v>0</v>
      </c>
      <c r="H54" s="9">
        <f t="shared" ref="H54" si="579">E54-F54-G54</f>
        <v>1984966.0300000014</v>
      </c>
      <c r="I54" s="9">
        <f t="shared" ref="I54" si="580">ROUND(H54*0,2)</f>
        <v>0</v>
      </c>
      <c r="J54" s="9">
        <f t="shared" ref="J54" si="581">ROUND((I54*0.58)+((I54*0.42)*0.1),2)</f>
        <v>0</v>
      </c>
      <c r="K54" s="9">
        <f t="shared" ref="K54" si="582">ROUND((I54*0.42)*0.9,2)</f>
        <v>0</v>
      </c>
      <c r="L54" s="69">
        <f t="shared" ref="L54" si="583">IF(J54+K54=I54,H54-I54,"ERROR")</f>
        <v>1984966.0300000014</v>
      </c>
      <c r="M54" s="9">
        <f t="shared" ref="M54" si="584">ROUND(L54*0.465,2)</f>
        <v>923009.2</v>
      </c>
      <c r="N54" s="9">
        <f>ROUND(L54*0.3,2)+0.01</f>
        <v>595489.82000000007</v>
      </c>
      <c r="O54" s="9">
        <f>ROUND(L54*0.1285,2)</f>
        <v>255068.13</v>
      </c>
      <c r="P54" s="9">
        <f t="shared" ref="P54" si="585">ROUND((L54*0.07)*0.9,2)</f>
        <v>125052.86</v>
      </c>
      <c r="Q54" s="9">
        <f>ROUND(L54*0.01,2)</f>
        <v>19849.66</v>
      </c>
      <c r="R54" s="9">
        <f t="shared" ref="R54" si="586">ROUND((L54*0.0075)*0.9,2)</f>
        <v>13398.52</v>
      </c>
      <c r="S54" s="9">
        <f t="shared" ref="S54" si="587">ROUND((L54*0.0075)*0.9,2)</f>
        <v>13398.52</v>
      </c>
      <c r="T54" s="9">
        <f>ROUND(L54*0.02,2)</f>
        <v>39699.32</v>
      </c>
      <c r="U54" s="9"/>
      <c r="V54" s="42">
        <f t="shared" ref="V54" si="588">E54/W54</f>
        <v>1930.6003174603188</v>
      </c>
      <c r="W54" s="10">
        <v>1071</v>
      </c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</row>
    <row r="55" spans="1:96" ht="15" customHeight="1" x14ac:dyDescent="0.25">
      <c r="A55" s="68">
        <f t="shared" si="24"/>
        <v>44359</v>
      </c>
      <c r="B55" s="9">
        <v>18300981.870000001</v>
      </c>
      <c r="C55" s="9">
        <v>16292239.900000002</v>
      </c>
      <c r="D55" s="9">
        <v>274419</v>
      </c>
      <c r="E55" s="9">
        <f t="shared" ref="E55" si="589">B55-C55-D55</f>
        <v>1734322.9699999988</v>
      </c>
      <c r="F55" s="9">
        <f>ROUND(E55*0.04,2)</f>
        <v>69372.92</v>
      </c>
      <c r="G55" s="9">
        <f t="shared" ref="G55" si="590">ROUND(E55*0,2)</f>
        <v>0</v>
      </c>
      <c r="H55" s="9">
        <f t="shared" ref="H55" si="591">E55-F55-G55</f>
        <v>1664950.0499999989</v>
      </c>
      <c r="I55" s="9">
        <f t="shared" ref="I55" si="592">ROUND(H55*0,2)</f>
        <v>0</v>
      </c>
      <c r="J55" s="9">
        <f t="shared" ref="J55" si="593">ROUND((I55*0.58)+((I55*0.42)*0.1),2)</f>
        <v>0</v>
      </c>
      <c r="K55" s="9">
        <f t="shared" ref="K55" si="594">ROUND((I55*0.42)*0.9,2)</f>
        <v>0</v>
      </c>
      <c r="L55" s="69">
        <f t="shared" ref="L55" si="595">IF(J55+K55=I55,H55-I55,"ERROR")</f>
        <v>1664950.0499999989</v>
      </c>
      <c r="M55" s="9">
        <f t="shared" ref="M55" si="596">ROUND(L55*0.465,2)</f>
        <v>774201.77</v>
      </c>
      <c r="N55" s="9">
        <f>ROUND(L55*0.3,2)+0.01</f>
        <v>499485.03</v>
      </c>
      <c r="O55" s="9">
        <f>ROUND(L55*0.1285,2)</f>
        <v>213946.08</v>
      </c>
      <c r="P55" s="9">
        <f t="shared" ref="P55" si="597">ROUND((L55*0.07)*0.9,2)</f>
        <v>104891.85</v>
      </c>
      <c r="Q55" s="9">
        <f>ROUND(L55*0.01,2)</f>
        <v>16649.5</v>
      </c>
      <c r="R55" s="9">
        <f t="shared" ref="R55" si="598">ROUND((L55*0.0075)*0.9,2)</f>
        <v>11238.41</v>
      </c>
      <c r="S55" s="9">
        <f t="shared" ref="S55" si="599">ROUND((L55*0.0075)*0.9,2)</f>
        <v>11238.41</v>
      </c>
      <c r="T55" s="9">
        <f>ROUND(L55*0.02,2)</f>
        <v>33299</v>
      </c>
      <c r="U55" s="9"/>
      <c r="V55" s="42">
        <f t="shared" ref="V55" si="600">E55/W55</f>
        <v>1608.8339239332086</v>
      </c>
      <c r="W55" s="10">
        <v>1078</v>
      </c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</row>
    <row r="56" spans="1:96" ht="15" customHeight="1" x14ac:dyDescent="0.25">
      <c r="A56" s="68">
        <f t="shared" si="24"/>
        <v>44366</v>
      </c>
      <c r="B56" s="9">
        <v>18119980.899999999</v>
      </c>
      <c r="C56" s="9">
        <v>16051788.920000002</v>
      </c>
      <c r="D56" s="9">
        <v>261270</v>
      </c>
      <c r="E56" s="9">
        <f t="shared" ref="E56" si="601">B56-C56-D56</f>
        <v>1806921.9799999967</v>
      </c>
      <c r="F56" s="9">
        <f>ROUND(E56*0.04,2)-0.01</f>
        <v>72276.87000000001</v>
      </c>
      <c r="G56" s="9">
        <f t="shared" ref="G56" si="602">ROUND(E56*0,2)</f>
        <v>0</v>
      </c>
      <c r="H56" s="9">
        <f t="shared" ref="H56" si="603">E56-F56-G56</f>
        <v>1734645.1099999966</v>
      </c>
      <c r="I56" s="9">
        <f t="shared" ref="I56" si="604">ROUND(H56*0,2)</f>
        <v>0</v>
      </c>
      <c r="J56" s="9">
        <f t="shared" ref="J56" si="605">ROUND((I56*0.58)+((I56*0.42)*0.1),2)</f>
        <v>0</v>
      </c>
      <c r="K56" s="9">
        <f t="shared" ref="K56" si="606">ROUND((I56*0.42)*0.9,2)</f>
        <v>0</v>
      </c>
      <c r="L56" s="69">
        <f t="shared" ref="L56" si="607">IF(J56+K56=I56,H56-I56,"ERROR")</f>
        <v>1734645.1099999966</v>
      </c>
      <c r="M56" s="9">
        <f t="shared" ref="M56" si="608">ROUND(L56*0.465,2)</f>
        <v>806609.98</v>
      </c>
      <c r="N56" s="9">
        <f>ROUND(L56*0.3,2)-0.06</f>
        <v>520393.47000000003</v>
      </c>
      <c r="O56" s="9">
        <f>ROUND(L56*0.1285,2)+0.04</f>
        <v>222901.94</v>
      </c>
      <c r="P56" s="9">
        <f t="shared" ref="P56" si="609">ROUND((L56*0.07)*0.9,2)</f>
        <v>109282.64</v>
      </c>
      <c r="Q56" s="9">
        <f>ROUND(L56*0.01,2)+0.01</f>
        <v>17346.46</v>
      </c>
      <c r="R56" s="9">
        <f t="shared" ref="R56" si="610">ROUND((L56*0.0075)*0.9,2)</f>
        <v>11708.85</v>
      </c>
      <c r="S56" s="9">
        <f t="shared" ref="S56" si="611">ROUND((L56*0.0075)*0.9,2)</f>
        <v>11708.85</v>
      </c>
      <c r="T56" s="9">
        <f>ROUND(L56*0.02,2)+0.02</f>
        <v>34692.92</v>
      </c>
      <c r="U56" s="9"/>
      <c r="V56" s="42">
        <f t="shared" ref="V56" si="612">E56/W56</f>
        <v>1657.7265871559603</v>
      </c>
      <c r="W56" s="10">
        <v>1090</v>
      </c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</row>
    <row r="57" spans="1:96" ht="15" customHeight="1" x14ac:dyDescent="0.25">
      <c r="A57" s="68">
        <f t="shared" si="24"/>
        <v>44373</v>
      </c>
      <c r="B57" s="9">
        <v>18577170.890000001</v>
      </c>
      <c r="C57" s="9">
        <v>16545172.109999999</v>
      </c>
      <c r="D57" s="9">
        <v>286542</v>
      </c>
      <c r="E57" s="9">
        <f t="shared" ref="E57" si="613">B57-C57-D57</f>
        <v>1745456.7800000012</v>
      </c>
      <c r="F57" s="9">
        <f>ROUND(E57*0.04,2)</f>
        <v>69818.27</v>
      </c>
      <c r="G57" s="9">
        <f t="shared" ref="G57" si="614">ROUND(E57*0,2)</f>
        <v>0</v>
      </c>
      <c r="H57" s="9">
        <f t="shared" ref="H57" si="615">E57-F57-G57</f>
        <v>1675638.5100000012</v>
      </c>
      <c r="I57" s="9">
        <f t="shared" ref="I57" si="616">ROUND(H57*0,2)</f>
        <v>0</v>
      </c>
      <c r="J57" s="9">
        <f t="shared" ref="J57" si="617">ROUND((I57*0.58)+((I57*0.42)*0.1),2)</f>
        <v>0</v>
      </c>
      <c r="K57" s="9">
        <f t="shared" ref="K57" si="618">ROUND((I57*0.42)*0.9,2)</f>
        <v>0</v>
      </c>
      <c r="L57" s="69">
        <f t="shared" ref="L57" si="619">IF(J57+K57=I57,H57-I57,"ERROR")</f>
        <v>1675638.5100000012</v>
      </c>
      <c r="M57" s="9">
        <f t="shared" ref="M57" si="620">ROUND(L57*0.465,2)</f>
        <v>779171.91</v>
      </c>
      <c r="N57" s="9">
        <f>ROUND(L57*0.3,2)+0.03</f>
        <v>502691.58</v>
      </c>
      <c r="O57" s="9">
        <f>ROUND(L57*0.1285,2)-0.02</f>
        <v>215319.53</v>
      </c>
      <c r="P57" s="9">
        <f t="shared" ref="P57" si="621">ROUND((L57*0.07)*0.9,2)</f>
        <v>105565.23</v>
      </c>
      <c r="Q57" s="9">
        <f>ROUND(L57*0.01,2)-0.01</f>
        <v>16756.38</v>
      </c>
      <c r="R57" s="9">
        <f t="shared" ref="R57" si="622">ROUND((L57*0.0075)*0.9,2)</f>
        <v>11310.56</v>
      </c>
      <c r="S57" s="9">
        <f t="shared" ref="S57" si="623">ROUND((L57*0.0075)*0.9,2)</f>
        <v>11310.56</v>
      </c>
      <c r="T57" s="9">
        <f>ROUND(L57*0.02,2)-0.01</f>
        <v>33512.759999999995</v>
      </c>
      <c r="U57" s="9"/>
      <c r="V57" s="42">
        <f t="shared" ref="V57" si="624">E57/W57</f>
        <v>1602.8069605142343</v>
      </c>
      <c r="W57" s="10">
        <v>1089</v>
      </c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</row>
    <row r="58" spans="1:96" ht="15" customHeight="1" x14ac:dyDescent="0.25">
      <c r="A58" s="68" t="s">
        <v>52</v>
      </c>
      <c r="B58" s="9">
        <v>8900794.9700000007</v>
      </c>
      <c r="C58" s="9">
        <v>7990275.6500000004</v>
      </c>
      <c r="D58" s="9">
        <v>125304</v>
      </c>
      <c r="E58" s="9">
        <f t="shared" ref="E58" si="625">B58-C58-D58</f>
        <v>785215.3200000003</v>
      </c>
      <c r="F58" s="9">
        <f>ROUND(E58*0.04,2)-0.01</f>
        <v>31408.600000000002</v>
      </c>
      <c r="G58" s="9">
        <f t="shared" ref="G58" si="626">ROUND(E58*0,2)</f>
        <v>0</v>
      </c>
      <c r="H58" s="9">
        <f t="shared" ref="H58" si="627">E58-F58-G58</f>
        <v>753806.72000000032</v>
      </c>
      <c r="I58" s="9">
        <f t="shared" ref="I58" si="628">ROUND(H58*0,2)</f>
        <v>0</v>
      </c>
      <c r="J58" s="9">
        <f t="shared" ref="J58" si="629">ROUND((I58*0.58)+((I58*0.42)*0.1),2)</f>
        <v>0</v>
      </c>
      <c r="K58" s="9">
        <f t="shared" ref="K58" si="630">ROUND((I58*0.42)*0.9,2)</f>
        <v>0</v>
      </c>
      <c r="L58" s="69">
        <f t="shared" ref="L58" si="631">IF(J58+K58=I58,H58-I58,"ERROR")</f>
        <v>753806.72000000032</v>
      </c>
      <c r="M58" s="9">
        <f t="shared" ref="M58" si="632">ROUND(L58*0.465,2)</f>
        <v>350520.12</v>
      </c>
      <c r="N58" s="9">
        <f>ROUND(L58*0.3,2)+0.04</f>
        <v>226142.06</v>
      </c>
      <c r="O58" s="9">
        <f>ROUND(L58*0.1285,2)-0.02</f>
        <v>96864.14</v>
      </c>
      <c r="P58" s="9">
        <f t="shared" ref="P58" si="633">ROUND((L58*0.07)*0.9,2)</f>
        <v>47489.82</v>
      </c>
      <c r="Q58" s="9">
        <f>ROUND(L58*0.01,2)-0.01</f>
        <v>7538.0599999999995</v>
      </c>
      <c r="R58" s="9">
        <f t="shared" ref="R58" si="634">ROUND((L58*0.0075)*0.9,2)</f>
        <v>5088.2</v>
      </c>
      <c r="S58" s="9">
        <f t="shared" ref="S58" si="635">ROUND((L58*0.0075)*0.9,2)</f>
        <v>5088.2</v>
      </c>
      <c r="T58" s="9">
        <f>ROUND(L58*0.02,2)-0.01</f>
        <v>15076.119999999999</v>
      </c>
      <c r="U58" s="9"/>
      <c r="V58" s="42">
        <f t="shared" ref="V58" si="636">E58/W58</f>
        <v>723.70075576036891</v>
      </c>
      <c r="W58" s="10">
        <v>1085</v>
      </c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</row>
    <row r="59" spans="1:96" ht="15" customHeight="1" x14ac:dyDescent="0.25">
      <c r="B59" s="11"/>
      <c r="V59" s="13"/>
    </row>
    <row r="60" spans="1:96" ht="15" customHeight="1" thickBot="1" x14ac:dyDescent="0.3">
      <c r="B60" s="14">
        <f t="shared" ref="B60:T60" si="637">SUM(B6:B59)</f>
        <v>813677772.15000021</v>
      </c>
      <c r="C60" s="14">
        <f t="shared" si="637"/>
        <v>723204731.86000001</v>
      </c>
      <c r="D60" s="14">
        <f t="shared" si="637"/>
        <v>12735102</v>
      </c>
      <c r="E60" s="14">
        <f t="shared" si="637"/>
        <v>77737938.289999992</v>
      </c>
      <c r="F60" s="14">
        <f t="shared" si="637"/>
        <v>3109517.4900000007</v>
      </c>
      <c r="G60" s="14">
        <f t="shared" si="637"/>
        <v>0</v>
      </c>
      <c r="H60" s="14">
        <f t="shared" si="637"/>
        <v>74628420.799999997</v>
      </c>
      <c r="I60" s="14">
        <f t="shared" si="637"/>
        <v>0</v>
      </c>
      <c r="J60" s="14">
        <f t="shared" si="637"/>
        <v>0</v>
      </c>
      <c r="K60" s="14">
        <f t="shared" si="637"/>
        <v>0</v>
      </c>
      <c r="L60" s="14">
        <f t="shared" si="637"/>
        <v>74628420.799999997</v>
      </c>
      <c r="M60" s="14">
        <f t="shared" si="637"/>
        <v>34702215.679999992</v>
      </c>
      <c r="N60" s="14">
        <f t="shared" si="637"/>
        <v>22388526.359999996</v>
      </c>
      <c r="O60" s="14">
        <f t="shared" si="637"/>
        <v>9589752.0900000017</v>
      </c>
      <c r="P60" s="14">
        <f t="shared" si="637"/>
        <v>4701590.51</v>
      </c>
      <c r="Q60" s="14">
        <f t="shared" si="637"/>
        <v>746284.18000000028</v>
      </c>
      <c r="R60" s="14">
        <f t="shared" si="637"/>
        <v>503741.80999999988</v>
      </c>
      <c r="S60" s="14">
        <f t="shared" si="637"/>
        <v>503741.80999999988</v>
      </c>
      <c r="T60" s="14">
        <f t="shared" si="637"/>
        <v>1492568.3600000006</v>
      </c>
      <c r="U60" s="14"/>
      <c r="V60" s="15">
        <f>AVERAGE(V6:V59)</f>
        <v>1625.6406333300092</v>
      </c>
      <c r="W60" s="16">
        <f>AVERAGE(W6:W59)</f>
        <v>938.22641509433959</v>
      </c>
    </row>
    <row r="61" spans="1:96" ht="15" customHeight="1" thickTop="1" x14ac:dyDescent="0.25"/>
    <row r="62" spans="1:96" ht="15" customHeight="1" x14ac:dyDescent="0.25">
      <c r="A62" s="1" t="s">
        <v>47</v>
      </c>
    </row>
    <row r="63" spans="1:96" ht="15" customHeight="1" x14ac:dyDescent="0.25">
      <c r="A63" s="1" t="s">
        <v>16</v>
      </c>
    </row>
    <row r="64" spans="1:96" ht="15" customHeight="1" x14ac:dyDescent="0.25">
      <c r="A64" s="1" t="s">
        <v>51</v>
      </c>
      <c r="B64" s="1"/>
    </row>
  </sheetData>
  <mergeCells count="1">
    <mergeCell ref="A4:W4"/>
  </mergeCells>
  <pageMargins left="0.25" right="0.25" top="0.5" bottom="0.25" header="0" footer="0"/>
  <pageSetup paperSize="5" scale="55" orientation="landscape" r:id="rId1"/>
  <headerFooter>
    <oddHeader>&amp;CMOUNTAINEER CASINO VIDEO LOTTERY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64"/>
  <sheetViews>
    <sheetView workbookViewId="0">
      <pane ySplit="3" topLeftCell="A30" activePane="bottomLeft" state="frozen"/>
      <selection pane="bottomLeft" activeCell="E58" sqref="E58"/>
    </sheetView>
  </sheetViews>
  <sheetFormatPr defaultRowHeight="15" customHeight="1" x14ac:dyDescent="0.25"/>
  <cols>
    <col min="1" max="1" width="14.7109375" style="2" customWidth="1"/>
    <col min="2" max="2" width="16.85546875" style="2" customWidth="1"/>
    <col min="3" max="3" width="17.42578125" style="2" bestFit="1" customWidth="1"/>
    <col min="4" max="4" width="15.140625" style="2" customWidth="1"/>
    <col min="5" max="5" width="17.140625" style="2" customWidth="1"/>
    <col min="6" max="6" width="14.7109375" style="2" bestFit="1" customWidth="1"/>
    <col min="7" max="7" width="13.7109375" style="2" bestFit="1" customWidth="1"/>
    <col min="8" max="8" width="17.5703125" style="2" customWidth="1"/>
    <col min="9" max="9" width="11.7109375" style="2" hidden="1" customWidth="1"/>
    <col min="10" max="11" width="12.7109375" style="2" customWidth="1"/>
    <col min="12" max="12" width="16.5703125" style="2" customWidth="1"/>
    <col min="13" max="13" width="15.85546875" style="2" customWidth="1"/>
    <col min="14" max="14" width="16.140625" style="2" customWidth="1"/>
    <col min="15" max="16" width="14.7109375" style="2" bestFit="1" customWidth="1"/>
    <col min="17" max="19" width="13.7109375" style="2" customWidth="1"/>
    <col min="20" max="20" width="14.7109375" style="2" customWidth="1"/>
    <col min="21" max="23" width="13.7109375" style="2" customWidth="1"/>
    <col min="24" max="16384" width="9.140625" style="2"/>
  </cols>
  <sheetData>
    <row r="1" spans="1:96" s="3" customFormat="1" ht="45" x14ac:dyDescent="0.25">
      <c r="A1" s="3" t="s">
        <v>14</v>
      </c>
      <c r="B1" s="3" t="s">
        <v>18</v>
      </c>
      <c r="C1" s="3" t="s">
        <v>19</v>
      </c>
      <c r="D1" s="3" t="s">
        <v>21</v>
      </c>
      <c r="E1" s="3" t="s">
        <v>22</v>
      </c>
      <c r="F1" s="3" t="s">
        <v>20</v>
      </c>
      <c r="G1" s="3" t="s">
        <v>23</v>
      </c>
      <c r="H1" s="3" t="s">
        <v>24</v>
      </c>
      <c r="I1" s="3" t="s">
        <v>15</v>
      </c>
      <c r="J1" s="3" t="s">
        <v>25</v>
      </c>
      <c r="K1" s="3" t="s">
        <v>26</v>
      </c>
      <c r="L1" s="3" t="s">
        <v>27</v>
      </c>
      <c r="M1" s="3" t="s">
        <v>12</v>
      </c>
      <c r="N1" s="3" t="s">
        <v>28</v>
      </c>
      <c r="O1" s="3" t="s">
        <v>23</v>
      </c>
      <c r="P1" s="3" t="s">
        <v>29</v>
      </c>
      <c r="Q1" s="3" t="s">
        <v>30</v>
      </c>
      <c r="R1" s="3" t="s">
        <v>31</v>
      </c>
      <c r="S1" s="3" t="s">
        <v>32</v>
      </c>
      <c r="T1" s="3" t="s">
        <v>38</v>
      </c>
      <c r="U1" s="3" t="s">
        <v>37</v>
      </c>
      <c r="V1" s="3" t="s">
        <v>33</v>
      </c>
      <c r="W1" s="3" t="s">
        <v>36</v>
      </c>
    </row>
    <row r="2" spans="1:96" s="4" customFormat="1" ht="15" customHeight="1" x14ac:dyDescent="0.25">
      <c r="A2" s="4" t="s">
        <v>49</v>
      </c>
      <c r="B2" s="5">
        <v>826157148.80000007</v>
      </c>
      <c r="C2" s="5">
        <v>740988875.82999992</v>
      </c>
      <c r="D2" s="5">
        <v>16000039.770000003</v>
      </c>
      <c r="E2" s="5">
        <v>69168233.199999988</v>
      </c>
      <c r="F2" s="5">
        <v>2766729.2599999988</v>
      </c>
      <c r="G2" s="5">
        <v>0</v>
      </c>
      <c r="H2" s="5">
        <v>66401503.940000013</v>
      </c>
      <c r="I2" s="5">
        <v>0</v>
      </c>
      <c r="J2" s="5">
        <v>0</v>
      </c>
      <c r="K2" s="5">
        <v>0</v>
      </c>
      <c r="L2" s="5">
        <v>66401503.940000013</v>
      </c>
      <c r="M2" s="5">
        <v>30876699.310000006</v>
      </c>
      <c r="N2" s="5">
        <v>19920451.110000007</v>
      </c>
      <c r="O2" s="5">
        <v>8532593.2300000004</v>
      </c>
      <c r="P2" s="5">
        <v>4183294.7700000009</v>
      </c>
      <c r="Q2" s="5">
        <v>664015.05999999971</v>
      </c>
      <c r="R2" s="5">
        <v>448210.17</v>
      </c>
      <c r="S2" s="5">
        <v>448210.17</v>
      </c>
      <c r="T2" s="5">
        <v>1048671.9999999995</v>
      </c>
      <c r="U2" s="9">
        <v>279358.12000000005</v>
      </c>
      <c r="V2" s="9">
        <v>1231.33</v>
      </c>
      <c r="W2" s="10">
        <v>1090</v>
      </c>
    </row>
    <row r="3" spans="1:96" s="4" customFormat="1" ht="15" customHeight="1" x14ac:dyDescent="0.25"/>
    <row r="4" spans="1:96" s="4" customFormat="1" ht="15" customHeight="1" x14ac:dyDescent="0.25">
      <c r="A4" s="75" t="s">
        <v>46</v>
      </c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</row>
    <row r="5" spans="1:96" s="44" customFormat="1" ht="15" customHeight="1" x14ac:dyDescent="0.25"/>
    <row r="6" spans="1:96" ht="15" customHeight="1" x14ac:dyDescent="0.25">
      <c r="A6" s="8" t="str">
        <f>Mountaineer!A6</f>
        <v>7/4/2020 *</v>
      </c>
      <c r="B6" s="9">
        <v>8486628.2699999996</v>
      </c>
      <c r="C6" s="9">
        <v>7602170.3300000001</v>
      </c>
      <c r="D6" s="9">
        <v>98593.85</v>
      </c>
      <c r="E6" s="9">
        <f t="shared" ref="E6" si="0">B6-C6-D6</f>
        <v>785864.0899999995</v>
      </c>
      <c r="F6" s="9">
        <f>ROUND(E6*0.04,2)</f>
        <v>31434.560000000001</v>
      </c>
      <c r="G6" s="9">
        <f t="shared" ref="G6" si="1">ROUND(E6*0,2)</f>
        <v>0</v>
      </c>
      <c r="H6" s="9">
        <f t="shared" ref="H6" si="2">E6-F6-G6</f>
        <v>754429.52999999945</v>
      </c>
      <c r="I6" s="9">
        <f t="shared" ref="I6" si="3">ROUND(H6*0,2)</f>
        <v>0</v>
      </c>
      <c r="J6" s="9">
        <f t="shared" ref="J6" si="4">ROUND((I6*0.58)+((I6*0.42)*0.1),2)</f>
        <v>0</v>
      </c>
      <c r="K6" s="9">
        <f t="shared" ref="K6" si="5">ROUND((I6*0.42)*0.9,2)</f>
        <v>0</v>
      </c>
      <c r="L6" s="9">
        <f t="shared" ref="L6" si="6">IF(J6+K6=I6,H6-I6,"ERROR")</f>
        <v>754429.52999999945</v>
      </c>
      <c r="M6" s="9">
        <f t="shared" ref="M6" si="7">ROUND(L6*0.465,2)</f>
        <v>350809.73</v>
      </c>
      <c r="N6" s="9">
        <f>ROUND(L6*0.3,2)-0.03</f>
        <v>226328.83</v>
      </c>
      <c r="O6" s="9">
        <f>ROUND(L6*0.1285,2)+0.02</f>
        <v>96944.21</v>
      </c>
      <c r="P6" s="9">
        <f t="shared" ref="P6" si="8">ROUND((L6*0.07)*0.9,2)</f>
        <v>47529.06</v>
      </c>
      <c r="Q6" s="9">
        <f>ROUND(L6*0.01,2)</f>
        <v>7544.3</v>
      </c>
      <c r="R6" s="9">
        <f t="shared" ref="R6" si="9">ROUND((L6*0.0075)*0.9,2)</f>
        <v>5092.3999999999996</v>
      </c>
      <c r="S6" s="9">
        <f t="shared" ref="S6" si="10">ROUND((L6*0.0075)*0.9,2)</f>
        <v>5092.3999999999996</v>
      </c>
      <c r="T6" s="9">
        <f>ROUND(L6*0.02,2)+0.01</f>
        <v>15088.6</v>
      </c>
      <c r="U6" s="9">
        <f t="shared" ref="U6" si="11">ROUND(L6*0,2)</f>
        <v>0</v>
      </c>
      <c r="V6" s="42">
        <f t="shared" ref="V6" si="12">E6/W6</f>
        <v>1376.2943782837119</v>
      </c>
      <c r="W6" s="10">
        <v>571</v>
      </c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</row>
    <row r="7" spans="1:96" ht="15" customHeight="1" x14ac:dyDescent="0.25">
      <c r="A7" s="8" t="str">
        <f>Mountaineer!A7</f>
        <v>7/11/2020</v>
      </c>
      <c r="B7" s="9">
        <v>14031841.720000001</v>
      </c>
      <c r="C7" s="9">
        <v>12582718.890000001</v>
      </c>
      <c r="D7" s="9">
        <v>123192.67</v>
      </c>
      <c r="E7" s="9">
        <f t="shared" ref="E7" si="13">B7-C7-D7</f>
        <v>1325930.1600000001</v>
      </c>
      <c r="F7" s="9">
        <f>ROUND(E7*0.04,2)-0.01</f>
        <v>53037.2</v>
      </c>
      <c r="G7" s="9">
        <f t="shared" ref="G7" si="14">ROUND(E7*0,2)</f>
        <v>0</v>
      </c>
      <c r="H7" s="9">
        <f t="shared" ref="H7" si="15">E7-F7-G7</f>
        <v>1272892.9600000002</v>
      </c>
      <c r="I7" s="9">
        <f t="shared" ref="I7" si="16">ROUND(H7*0,2)</f>
        <v>0</v>
      </c>
      <c r="J7" s="9">
        <f t="shared" ref="J7" si="17">ROUND((I7*0.58)+((I7*0.42)*0.1),2)</f>
        <v>0</v>
      </c>
      <c r="K7" s="9">
        <f t="shared" ref="K7" si="18">ROUND((I7*0.42)*0.9,2)</f>
        <v>0</v>
      </c>
      <c r="L7" s="9">
        <f t="shared" ref="L7" si="19">IF(J7+K7=I7,H7-I7,"ERROR")</f>
        <v>1272892.9600000002</v>
      </c>
      <c r="M7" s="9">
        <f t="shared" ref="M7" si="20">ROUND(L7*0.465,2)</f>
        <v>591895.23</v>
      </c>
      <c r="N7" s="9">
        <f>ROUND(L7*0.3,2)+0.03</f>
        <v>381867.92000000004</v>
      </c>
      <c r="O7" s="9">
        <f>ROUND(L7*0.1285,2)-0.02</f>
        <v>163566.73000000001</v>
      </c>
      <c r="P7" s="9">
        <f t="shared" ref="P7" si="21">ROUND((L7*0.07)*0.9,2)</f>
        <v>80192.259999999995</v>
      </c>
      <c r="Q7" s="9">
        <f>ROUND(L7*0.01,2)-0.01</f>
        <v>12728.92</v>
      </c>
      <c r="R7" s="9">
        <f t="shared" ref="R7" si="22">ROUND((L7*0.0075)*0.9,2)</f>
        <v>8592.0300000000007</v>
      </c>
      <c r="S7" s="9">
        <f t="shared" ref="S7" si="23">ROUND((L7*0.0075)*0.9,2)</f>
        <v>8592.0300000000007</v>
      </c>
      <c r="T7" s="9">
        <f>ROUND(L7*0.02,2)-0.02</f>
        <v>25457.84</v>
      </c>
      <c r="U7" s="9">
        <f t="shared" ref="U7" si="24">ROUND(L7*0,2)</f>
        <v>0</v>
      </c>
      <c r="V7" s="42">
        <f t="shared" ref="V7" si="25">E7/W7</f>
        <v>2262.6794539249149</v>
      </c>
      <c r="W7" s="10">
        <v>586</v>
      </c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</row>
    <row r="8" spans="1:96" ht="15" customHeight="1" x14ac:dyDescent="0.25">
      <c r="A8" s="8">
        <f>Mountaineer!A8</f>
        <v>44030</v>
      </c>
      <c r="B8" s="9">
        <v>12655278.960000001</v>
      </c>
      <c r="C8" s="9">
        <v>11198098.76</v>
      </c>
      <c r="D8" s="9">
        <v>177142.41</v>
      </c>
      <c r="E8" s="9">
        <f t="shared" ref="E8" si="26">B8-C8-D8</f>
        <v>1280037.7900000012</v>
      </c>
      <c r="F8" s="9">
        <f>ROUND(E8*0.04,2)</f>
        <v>51201.51</v>
      </c>
      <c r="G8" s="9">
        <f t="shared" ref="G8" si="27">ROUND(E8*0,2)</f>
        <v>0</v>
      </c>
      <c r="H8" s="9">
        <f t="shared" ref="H8" si="28">E8-F8-G8</f>
        <v>1228836.2800000012</v>
      </c>
      <c r="I8" s="9">
        <f t="shared" ref="I8" si="29">ROUND(H8*0,2)</f>
        <v>0</v>
      </c>
      <c r="J8" s="9">
        <f t="shared" ref="J8" si="30">ROUND((I8*0.58)+((I8*0.42)*0.1),2)</f>
        <v>0</v>
      </c>
      <c r="K8" s="9">
        <f t="shared" ref="K8" si="31">ROUND((I8*0.42)*0.9,2)</f>
        <v>0</v>
      </c>
      <c r="L8" s="69">
        <f t="shared" ref="L8" si="32">IF(J8+K8=I8,H8-I8,"ERROR")</f>
        <v>1228836.2800000012</v>
      </c>
      <c r="M8" s="9">
        <f t="shared" ref="M8" si="33">ROUND(L8*0.465,2)</f>
        <v>571408.87</v>
      </c>
      <c r="N8" s="9">
        <f>ROUND(L8*0.3,2)+0.02</f>
        <v>368650.9</v>
      </c>
      <c r="O8" s="9">
        <f>ROUND(L8*0.1285,2)</f>
        <v>157905.46</v>
      </c>
      <c r="P8" s="9">
        <f t="shared" ref="P8" si="34">ROUND((L8*0.07)*0.9,2)</f>
        <v>77416.69</v>
      </c>
      <c r="Q8" s="9">
        <f>ROUND(L8*0.01,2)</f>
        <v>12288.36</v>
      </c>
      <c r="R8" s="9">
        <f t="shared" ref="R8" si="35">ROUND((L8*0.0075)*0.9,2)</f>
        <v>8294.64</v>
      </c>
      <c r="S8" s="9">
        <f t="shared" ref="S8" si="36">ROUND((L8*0.0075)*0.9,2)</f>
        <v>8294.64</v>
      </c>
      <c r="T8" s="9">
        <f>ROUND(L8*0.02,2)-0.01</f>
        <v>24576.720000000001</v>
      </c>
      <c r="U8" s="9">
        <f t="shared" ref="U8" si="37">ROUND(L8*0,2)</f>
        <v>0</v>
      </c>
      <c r="V8" s="42">
        <f t="shared" ref="V8" si="38">E8/W8</f>
        <v>2195.6051286449419</v>
      </c>
      <c r="W8" s="10">
        <v>583</v>
      </c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</row>
    <row r="9" spans="1:96" ht="15" customHeight="1" x14ac:dyDescent="0.25">
      <c r="A9" s="8">
        <f>Mountaineer!A9</f>
        <v>44037</v>
      </c>
      <c r="B9" s="9">
        <v>13636539.039999999</v>
      </c>
      <c r="C9" s="9">
        <v>12209495.92</v>
      </c>
      <c r="D9" s="9">
        <v>197591.51</v>
      </c>
      <c r="E9" s="9">
        <f t="shared" ref="E9" si="39">B9-C9-D9</f>
        <v>1229451.6099999992</v>
      </c>
      <c r="F9" s="9">
        <f>ROUND(E9*0.04,2)+0.01</f>
        <v>49178.07</v>
      </c>
      <c r="G9" s="9">
        <f t="shared" ref="G9" si="40">ROUND(E9*0,2)</f>
        <v>0</v>
      </c>
      <c r="H9" s="9">
        <f t="shared" ref="H9" si="41">E9-F9-G9</f>
        <v>1180273.5399999991</v>
      </c>
      <c r="I9" s="9">
        <f t="shared" ref="I9" si="42">ROUND(H9*0,2)</f>
        <v>0</v>
      </c>
      <c r="J9" s="9">
        <f t="shared" ref="J9" si="43">ROUND((I9*0.58)+((I9*0.42)*0.1),2)</f>
        <v>0</v>
      </c>
      <c r="K9" s="9">
        <f t="shared" ref="K9" si="44">ROUND((I9*0.42)*0.9,2)</f>
        <v>0</v>
      </c>
      <c r="L9" s="69">
        <f t="shared" ref="L9" si="45">IF(J9+K9=I9,H9-I9,"ERROR")</f>
        <v>1180273.5399999991</v>
      </c>
      <c r="M9" s="9">
        <f t="shared" ref="M9" si="46">ROUND(L9*0.465,2)</f>
        <v>548827.19999999995</v>
      </c>
      <c r="N9" s="9">
        <f>ROUND(L9*0.3,2)-0.03</f>
        <v>354082.02999999997</v>
      </c>
      <c r="O9" s="9">
        <f>ROUND(L9*0.1285,2)+0.01</f>
        <v>151665.16</v>
      </c>
      <c r="P9" s="9">
        <f t="shared" ref="P9" si="47">ROUND((L9*0.07)*0.9,2)</f>
        <v>74357.23</v>
      </c>
      <c r="Q9" s="9">
        <f>ROUND(L9*0.01,2)</f>
        <v>11802.74</v>
      </c>
      <c r="R9" s="9">
        <f t="shared" ref="R9" si="48">ROUND((L9*0.0075)*0.9,2)</f>
        <v>7966.85</v>
      </c>
      <c r="S9" s="9">
        <f t="shared" ref="S9" si="49">ROUND((L9*0.0075)*0.9,2)</f>
        <v>7966.85</v>
      </c>
      <c r="T9" s="9">
        <f>ROUND(L9*0.02,2)+0.01</f>
        <v>23605.48</v>
      </c>
      <c r="U9" s="9">
        <f t="shared" ref="U9" si="50">ROUND(L9*0,2)</f>
        <v>0</v>
      </c>
      <c r="V9" s="42">
        <f t="shared" ref="V9" si="51">E9/W9</f>
        <v>2119.7441551724123</v>
      </c>
      <c r="W9" s="10">
        <v>580</v>
      </c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</row>
    <row r="10" spans="1:96" ht="15.75" customHeight="1" x14ac:dyDescent="0.25">
      <c r="A10" s="8">
        <f>Mountaineer!A10</f>
        <v>44044</v>
      </c>
      <c r="B10" s="9">
        <v>14214523.359999999</v>
      </c>
      <c r="C10" s="9">
        <v>12661174.58</v>
      </c>
      <c r="D10" s="9">
        <v>200160.2</v>
      </c>
      <c r="E10" s="9">
        <f t="shared" ref="E10" si="52">B10-C10-D10</f>
        <v>1353188.5799999994</v>
      </c>
      <c r="F10" s="9">
        <f>ROUND(E10*0.04,2)-0.01</f>
        <v>54127.53</v>
      </c>
      <c r="G10" s="9">
        <f t="shared" ref="G10" si="53">ROUND(E10*0,2)</f>
        <v>0</v>
      </c>
      <c r="H10" s="9">
        <f t="shared" ref="H10" si="54">E10-F10-G10</f>
        <v>1299061.0499999993</v>
      </c>
      <c r="I10" s="9">
        <f t="shared" ref="I10" si="55">ROUND(H10*0,2)</f>
        <v>0</v>
      </c>
      <c r="J10" s="9">
        <f t="shared" ref="J10" si="56">ROUND((I10*0.58)+((I10*0.42)*0.1),2)</f>
        <v>0</v>
      </c>
      <c r="K10" s="9">
        <f t="shared" ref="K10" si="57">ROUND((I10*0.42)*0.9,2)</f>
        <v>0</v>
      </c>
      <c r="L10" s="69">
        <f t="shared" ref="L10" si="58">IF(J10+K10=I10,H10-I10,"ERROR")</f>
        <v>1299061.0499999993</v>
      </c>
      <c r="M10" s="9">
        <f t="shared" ref="M10" si="59">ROUND(L10*0.465,2)</f>
        <v>604063.39</v>
      </c>
      <c r="N10" s="9">
        <f>ROUND(L10*0.3,2)-0.05</f>
        <v>389718.27</v>
      </c>
      <c r="O10" s="9">
        <f>ROUND(L10*0.1285,2)+0.02</f>
        <v>166929.35999999999</v>
      </c>
      <c r="P10" s="9">
        <f t="shared" ref="P10" si="60">ROUND((L10*0.07)*0.9,2)</f>
        <v>81840.850000000006</v>
      </c>
      <c r="Q10" s="9">
        <f>ROUND(L10*0.01,2)+0.01</f>
        <v>12990.62</v>
      </c>
      <c r="R10" s="9">
        <f t="shared" ref="R10" si="61">ROUND((L10*0.0075)*0.9,2)</f>
        <v>8768.66</v>
      </c>
      <c r="S10" s="9">
        <f t="shared" ref="S10" si="62">ROUND((L10*0.0075)*0.9,2)</f>
        <v>8768.66</v>
      </c>
      <c r="T10" s="9">
        <f>ROUND(L10*0.02,2)+0.02</f>
        <v>25981.24</v>
      </c>
      <c r="U10" s="9">
        <f t="shared" ref="U10" si="63">ROUND(L10*0,2)</f>
        <v>0</v>
      </c>
      <c r="V10" s="42">
        <f t="shared" ref="V10" si="64">E10/W10</f>
        <v>2309.1955290102378</v>
      </c>
      <c r="W10" s="10">
        <v>586</v>
      </c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</row>
    <row r="11" spans="1:96" ht="15.75" customHeight="1" x14ac:dyDescent="0.25">
      <c r="A11" s="8">
        <f>Mountaineer!A11</f>
        <v>44051</v>
      </c>
      <c r="B11" s="9">
        <v>14343820.91</v>
      </c>
      <c r="C11" s="9">
        <v>12903527.050000001</v>
      </c>
      <c r="D11" s="9">
        <v>203518.21</v>
      </c>
      <c r="E11" s="9">
        <f t="shared" ref="E11" si="65">B11-C11-D11</f>
        <v>1236775.6499999994</v>
      </c>
      <c r="F11" s="9">
        <f>ROUND(E11*0.04,2)-0.01</f>
        <v>49471.02</v>
      </c>
      <c r="G11" s="9">
        <f t="shared" ref="G11" si="66">ROUND(E11*0,2)</f>
        <v>0</v>
      </c>
      <c r="H11" s="9">
        <f t="shared" ref="H11" si="67">E11-F11-G11</f>
        <v>1187304.6299999994</v>
      </c>
      <c r="I11" s="9">
        <f t="shared" ref="I11" si="68">ROUND(H11*0,2)</f>
        <v>0</v>
      </c>
      <c r="J11" s="9">
        <f t="shared" ref="J11" si="69">ROUND((I11*0.58)+((I11*0.42)*0.1),2)</f>
        <v>0</v>
      </c>
      <c r="K11" s="9">
        <f t="shared" ref="K11" si="70">ROUND((I11*0.42)*0.9,2)</f>
        <v>0</v>
      </c>
      <c r="L11" s="69">
        <f t="shared" ref="L11" si="71">IF(J11+K11=I11,H11-I11,"ERROR")</f>
        <v>1187304.6299999994</v>
      </c>
      <c r="M11" s="9">
        <f t="shared" ref="M11" si="72">ROUND(L11*0.465,2)</f>
        <v>552096.65</v>
      </c>
      <c r="N11" s="9">
        <f>ROUND(L11*0.3,2)+0.05</f>
        <v>356191.44</v>
      </c>
      <c r="O11" s="9">
        <f>ROUND(L11*0.1285,2)-0.03</f>
        <v>152568.61000000002</v>
      </c>
      <c r="P11" s="9">
        <f t="shared" ref="P11" si="73">ROUND((L11*0.07)*0.9,2)</f>
        <v>74800.19</v>
      </c>
      <c r="Q11" s="9">
        <f>ROUND(L11*0.01,2)-0.01</f>
        <v>11873.039999999999</v>
      </c>
      <c r="R11" s="9">
        <f t="shared" ref="R11" si="74">ROUND((L11*0.0075)*0.9,2)</f>
        <v>8014.31</v>
      </c>
      <c r="S11" s="9">
        <f t="shared" ref="S11" si="75">ROUND((L11*0.0075)*0.9,2)</f>
        <v>8014.31</v>
      </c>
      <c r="T11" s="9">
        <f>ROUND(L11*0.02,2)-0.01</f>
        <v>23746.080000000002</v>
      </c>
      <c r="U11" s="9">
        <f t="shared" ref="U11" si="76">ROUND(L11*0,2)</f>
        <v>0</v>
      </c>
      <c r="V11" s="42">
        <f t="shared" ref="V11" si="77">E11/W11</f>
        <v>2068.1867056856177</v>
      </c>
      <c r="W11" s="10">
        <v>598</v>
      </c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</row>
    <row r="12" spans="1:96" ht="15.75" customHeight="1" x14ac:dyDescent="0.25">
      <c r="A12" s="8">
        <f>Mountaineer!A12</f>
        <v>44058</v>
      </c>
      <c r="B12" s="9">
        <v>14548124.32</v>
      </c>
      <c r="C12" s="9">
        <v>13013540.27</v>
      </c>
      <c r="D12" s="9">
        <v>201612.54</v>
      </c>
      <c r="E12" s="9">
        <f t="shared" ref="E12" si="78">B12-C12-D12</f>
        <v>1332971.5100000007</v>
      </c>
      <c r="F12" s="9">
        <f>ROUND(E12*0.04,2)+0.01</f>
        <v>53318.87</v>
      </c>
      <c r="G12" s="9">
        <f t="shared" ref="G12" si="79">ROUND(E12*0,2)</f>
        <v>0</v>
      </c>
      <c r="H12" s="9">
        <f t="shared" ref="H12" si="80">E12-F12-G12</f>
        <v>1279652.6400000006</v>
      </c>
      <c r="I12" s="9">
        <f t="shared" ref="I12" si="81">ROUND(H12*0,2)</f>
        <v>0</v>
      </c>
      <c r="J12" s="9">
        <f t="shared" ref="J12" si="82">ROUND((I12*0.58)+((I12*0.42)*0.1),2)</f>
        <v>0</v>
      </c>
      <c r="K12" s="9">
        <f t="shared" ref="K12" si="83">ROUND((I12*0.42)*0.9,2)</f>
        <v>0</v>
      </c>
      <c r="L12" s="69">
        <f t="shared" ref="L12" si="84">IF(J12+K12=I12,H12-I12,"ERROR")</f>
        <v>1279652.6400000006</v>
      </c>
      <c r="M12" s="9">
        <f t="shared" ref="M12" si="85">ROUND(L12*0.465,2)</f>
        <v>595038.48</v>
      </c>
      <c r="N12" s="9">
        <f>ROUND(L12*0.3,2)+0.06</f>
        <v>383895.85</v>
      </c>
      <c r="O12" s="9">
        <f>ROUND(L12*0.1285,2)-0.05</f>
        <v>164435.31</v>
      </c>
      <c r="P12" s="9">
        <f t="shared" ref="P12" si="86">ROUND((L12*0.07)*0.9,2)</f>
        <v>80618.12</v>
      </c>
      <c r="Q12" s="9">
        <f>ROUND(L12*0.01,2)-0.01</f>
        <v>12796.52</v>
      </c>
      <c r="R12" s="9">
        <f t="shared" ref="R12" si="87">ROUND((L12*0.0075)*0.9,2)</f>
        <v>8637.66</v>
      </c>
      <c r="S12" s="9">
        <f t="shared" ref="S12" si="88">ROUND((L12*0.0075)*0.9,2)</f>
        <v>8637.66</v>
      </c>
      <c r="T12" s="9">
        <f>ROUND(L12*0.02,2)-0.01</f>
        <v>25593.040000000001</v>
      </c>
      <c r="U12" s="9">
        <f t="shared" ref="U12" si="89">ROUND(L12*0,2)</f>
        <v>0</v>
      </c>
      <c r="V12" s="42">
        <f t="shared" ref="V12" si="90">E12/W12</f>
        <v>2199.6229537953809</v>
      </c>
      <c r="W12" s="10">
        <v>606</v>
      </c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</row>
    <row r="13" spans="1:96" ht="15.75" customHeight="1" x14ac:dyDescent="0.25">
      <c r="A13" s="8">
        <f>Mountaineer!A13</f>
        <v>44065</v>
      </c>
      <c r="B13" s="9">
        <v>13363812.07</v>
      </c>
      <c r="C13" s="9">
        <v>11941626.189999999</v>
      </c>
      <c r="D13" s="9">
        <v>186209.7</v>
      </c>
      <c r="E13" s="9">
        <f t="shared" ref="E13" si="91">B13-C13-D13</f>
        <v>1235976.1800000009</v>
      </c>
      <c r="F13" s="9">
        <f>ROUND(E13*0.04,2)-0.01</f>
        <v>49439.040000000001</v>
      </c>
      <c r="G13" s="9">
        <f t="shared" ref="G13" si="92">ROUND(E13*0,2)</f>
        <v>0</v>
      </c>
      <c r="H13" s="9">
        <f t="shared" ref="H13" si="93">E13-F13-G13</f>
        <v>1186537.1400000008</v>
      </c>
      <c r="I13" s="9">
        <f t="shared" ref="I13" si="94">ROUND(H13*0,2)</f>
        <v>0</v>
      </c>
      <c r="J13" s="9">
        <f t="shared" ref="J13" si="95">ROUND((I13*0.58)+((I13*0.42)*0.1),2)</f>
        <v>0</v>
      </c>
      <c r="K13" s="9">
        <f t="shared" ref="K13" si="96">ROUND((I13*0.42)*0.9,2)</f>
        <v>0</v>
      </c>
      <c r="L13" s="69">
        <f t="shared" ref="L13" si="97">IF(J13+K13=I13,H13-I13,"ERROR")</f>
        <v>1186537.1400000008</v>
      </c>
      <c r="M13" s="9">
        <f t="shared" ref="M13" si="98">ROUND(L13*0.465,2)</f>
        <v>551739.77</v>
      </c>
      <c r="N13" s="9">
        <f>ROUND(L13*0.3,2)-0.05</f>
        <v>355961.09</v>
      </c>
      <c r="O13" s="9">
        <f>ROUND(L13*0.1285,2)+0.02</f>
        <v>152470.03999999998</v>
      </c>
      <c r="P13" s="9">
        <f t="shared" ref="P13" si="99">ROUND((L13*0.07)*0.9,2)</f>
        <v>74751.839999999997</v>
      </c>
      <c r="Q13" s="9">
        <f>ROUND(L13*0.01,2)+0.01</f>
        <v>11865.380000000001</v>
      </c>
      <c r="R13" s="9">
        <f t="shared" ref="R13" si="100">ROUND((L13*0.0075)*0.9,2)</f>
        <v>8009.13</v>
      </c>
      <c r="S13" s="9">
        <f t="shared" ref="S13" si="101">ROUND((L13*0.0075)*0.9,2)</f>
        <v>8009.13</v>
      </c>
      <c r="T13" s="9">
        <f>ROUND(L13*0.02,2)+0.02</f>
        <v>23730.760000000002</v>
      </c>
      <c r="U13" s="9">
        <f t="shared" ref="U13" si="102">ROUND(L13*0,2)</f>
        <v>0</v>
      </c>
      <c r="V13" s="42">
        <f t="shared" ref="V13" si="103">E13/W13</f>
        <v>2059.9603000000016</v>
      </c>
      <c r="W13" s="10">
        <v>600</v>
      </c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</row>
    <row r="14" spans="1:96" ht="15.75" customHeight="1" x14ac:dyDescent="0.25">
      <c r="A14" s="8">
        <f>Mountaineer!A14</f>
        <v>44072</v>
      </c>
      <c r="B14" s="9">
        <v>15094139.9</v>
      </c>
      <c r="C14" s="9">
        <v>13551805.109999999</v>
      </c>
      <c r="D14" s="9">
        <v>203343.15</v>
      </c>
      <c r="E14" s="9">
        <f t="shared" ref="E14" si="104">B14-C14-D14</f>
        <v>1338991.6400000011</v>
      </c>
      <c r="F14" s="9">
        <f>ROUND(E14*0.04,2)-0.01</f>
        <v>53559.659999999996</v>
      </c>
      <c r="G14" s="9">
        <f t="shared" ref="G14" si="105">ROUND(E14*0,2)</f>
        <v>0</v>
      </c>
      <c r="H14" s="9">
        <f t="shared" ref="H14" si="106">E14-F14-G14</f>
        <v>1285431.9800000011</v>
      </c>
      <c r="I14" s="9">
        <f t="shared" ref="I14" si="107">ROUND(H14*0,2)</f>
        <v>0</v>
      </c>
      <c r="J14" s="9">
        <f t="shared" ref="J14" si="108">ROUND((I14*0.58)+((I14*0.42)*0.1),2)</f>
        <v>0</v>
      </c>
      <c r="K14" s="9">
        <f t="shared" ref="K14" si="109">ROUND((I14*0.42)*0.9,2)</f>
        <v>0</v>
      </c>
      <c r="L14" s="69">
        <f t="shared" ref="L14" si="110">IF(J14+K14=I14,H14-I14,"ERROR")</f>
        <v>1285431.9800000011</v>
      </c>
      <c r="M14" s="9">
        <f t="shared" ref="M14" si="111">ROUND(L14*0.465,2)</f>
        <v>597725.87</v>
      </c>
      <c r="N14" s="9">
        <f>ROUND(L14*0.3,2)+0.01</f>
        <v>385629.60000000003</v>
      </c>
      <c r="O14" s="9">
        <f>ROUND(L14*0.1285,2)-0.01</f>
        <v>165178</v>
      </c>
      <c r="P14" s="9">
        <f t="shared" ref="P14" si="112">ROUND((L14*0.07)*0.9,2)</f>
        <v>80982.210000000006</v>
      </c>
      <c r="Q14" s="9">
        <f>ROUND(L14*0.01,2)</f>
        <v>12854.32</v>
      </c>
      <c r="R14" s="9">
        <f t="shared" ref="R14" si="113">ROUND((L14*0.0075)*0.9,2)</f>
        <v>8676.67</v>
      </c>
      <c r="S14" s="9">
        <f t="shared" ref="S14" si="114">ROUND((L14*0.0075)*0.9,2)</f>
        <v>8676.67</v>
      </c>
      <c r="T14" s="9">
        <f>ROUND(L14*0.02,2)</f>
        <v>25708.639999999999</v>
      </c>
      <c r="U14" s="9">
        <f t="shared" ref="U14" si="115">ROUND(L14*0,2)</f>
        <v>0</v>
      </c>
      <c r="V14" s="42">
        <f t="shared" ref="V14" si="116">E14/W14</f>
        <v>2216.8735761589423</v>
      </c>
      <c r="W14" s="10">
        <v>604</v>
      </c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</row>
    <row r="15" spans="1:96" ht="15.75" customHeight="1" x14ac:dyDescent="0.25">
      <c r="A15" s="8">
        <f>Mountaineer!A15</f>
        <v>44079</v>
      </c>
      <c r="B15" s="9">
        <v>14399012.4</v>
      </c>
      <c r="C15" s="9">
        <v>13026225.189999999</v>
      </c>
      <c r="D15" s="9">
        <v>173167.13</v>
      </c>
      <c r="E15" s="9">
        <f t="shared" ref="E15" si="117">B15-C15-D15</f>
        <v>1199620.080000001</v>
      </c>
      <c r="F15" s="9">
        <f>ROUND(E15*0.04,2)-0.01</f>
        <v>47984.79</v>
      </c>
      <c r="G15" s="9">
        <f t="shared" ref="G15" si="118">ROUND(E15*0,2)</f>
        <v>0</v>
      </c>
      <c r="H15" s="9">
        <f t="shared" ref="H15" si="119">E15-F15-G15</f>
        <v>1151635.290000001</v>
      </c>
      <c r="I15" s="9">
        <f t="shared" ref="I15" si="120">ROUND(H15*0,2)</f>
        <v>0</v>
      </c>
      <c r="J15" s="9">
        <f t="shared" ref="J15" si="121">ROUND((I15*0.58)+((I15*0.42)*0.1),2)</f>
        <v>0</v>
      </c>
      <c r="K15" s="9">
        <f t="shared" ref="K15" si="122">ROUND((I15*0.42)*0.9,2)</f>
        <v>0</v>
      </c>
      <c r="L15" s="69">
        <f t="shared" ref="L15" si="123">IF(J15+K15=I15,H15-I15,"ERROR")</f>
        <v>1151635.290000001</v>
      </c>
      <c r="M15" s="9">
        <f t="shared" ref="M15" si="124">ROUND(L15*0.465,2)</f>
        <v>535510.41</v>
      </c>
      <c r="N15" s="9">
        <f>ROUND(L15*0.3,2)-0.03</f>
        <v>345490.56</v>
      </c>
      <c r="O15" s="9">
        <f>ROUND(L15*0.1285,2)+0.01</f>
        <v>147985.14000000001</v>
      </c>
      <c r="P15" s="9">
        <f t="shared" ref="P15" si="125">ROUND((L15*0.07)*0.9,2)</f>
        <v>72553.02</v>
      </c>
      <c r="Q15" s="9">
        <f>ROUND(L15*0.01,2)+0.01</f>
        <v>11516.36</v>
      </c>
      <c r="R15" s="9">
        <f t="shared" ref="R15" si="126">ROUND((L15*0.0075)*0.9,2)</f>
        <v>7773.54</v>
      </c>
      <c r="S15" s="9">
        <f t="shared" ref="S15" si="127">ROUND((L15*0.0075)*0.9,2)</f>
        <v>7773.54</v>
      </c>
      <c r="T15" s="9">
        <f>ROUND(L15*0.02,2)+0.01</f>
        <v>23032.719999999998</v>
      </c>
      <c r="U15" s="9">
        <f t="shared" ref="U15" si="128">ROUND(L15*0,2)</f>
        <v>0</v>
      </c>
      <c r="V15" s="42">
        <f t="shared" ref="V15" si="129">E15/W15</f>
        <v>1966.5902950819689</v>
      </c>
      <c r="W15" s="10">
        <v>610</v>
      </c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</row>
    <row r="16" spans="1:96" ht="15.75" customHeight="1" x14ac:dyDescent="0.25">
      <c r="A16" s="8">
        <f>Mountaineer!A16</f>
        <v>44086</v>
      </c>
      <c r="B16" s="9">
        <v>15956857.890000001</v>
      </c>
      <c r="C16" s="9">
        <v>14355335.59</v>
      </c>
      <c r="D16" s="9">
        <v>201720.91</v>
      </c>
      <c r="E16" s="9">
        <f t="shared" ref="E16" si="130">B16-C16-D16</f>
        <v>1399801.3900000008</v>
      </c>
      <c r="F16" s="9">
        <f>ROUND(E16*0.04,2)</f>
        <v>55992.06</v>
      </c>
      <c r="G16" s="9">
        <f t="shared" ref="G16" si="131">ROUND(E16*0,2)</f>
        <v>0</v>
      </c>
      <c r="H16" s="9">
        <f t="shared" ref="H16" si="132">E16-F16-G16</f>
        <v>1343809.3300000008</v>
      </c>
      <c r="I16" s="9">
        <f t="shared" ref="I16" si="133">ROUND(H16*0,2)</f>
        <v>0</v>
      </c>
      <c r="J16" s="9">
        <f t="shared" ref="J16" si="134">ROUND((I16*0.58)+((I16*0.42)*0.1),2)</f>
        <v>0</v>
      </c>
      <c r="K16" s="9">
        <f t="shared" ref="K16" si="135">ROUND((I16*0.42)*0.9,2)</f>
        <v>0</v>
      </c>
      <c r="L16" s="69">
        <f t="shared" ref="L16" si="136">IF(J16+K16=I16,H16-I16,"ERROR")</f>
        <v>1343809.3300000008</v>
      </c>
      <c r="M16" s="9">
        <f t="shared" ref="M16" si="137">ROUND(L16*0.465,2)</f>
        <v>624871.34</v>
      </c>
      <c r="N16" s="9">
        <f>ROUND(L16*0.3,2)-0.03</f>
        <v>403142.76999999996</v>
      </c>
      <c r="O16" s="9">
        <f>ROUND(L16*0.1285,2)+0.01</f>
        <v>172679.51</v>
      </c>
      <c r="P16" s="9">
        <f t="shared" ref="P16" si="138">ROUND((L16*0.07)*0.9,2)</f>
        <v>84659.99</v>
      </c>
      <c r="Q16" s="9">
        <f>ROUND(L16*0.01,2)+0.01</f>
        <v>13438.1</v>
      </c>
      <c r="R16" s="9">
        <f t="shared" ref="R16" si="139">ROUND((L16*0.0075)*0.9,2)</f>
        <v>9070.7099999999991</v>
      </c>
      <c r="S16" s="9">
        <f t="shared" ref="S16" si="140">ROUND((L16*0.0075)*0.9,2)</f>
        <v>9070.7099999999991</v>
      </c>
      <c r="T16" s="9">
        <f>ROUND(L16*0.02,2)+0.01</f>
        <v>26876.199999999997</v>
      </c>
      <c r="U16" s="9">
        <f t="shared" ref="U16" si="141">ROUND(L16*0,2)</f>
        <v>0</v>
      </c>
      <c r="V16" s="42">
        <f t="shared" ref="V16" si="142">E16/W16</f>
        <v>2276.0998211382125</v>
      </c>
      <c r="W16" s="10">
        <v>615</v>
      </c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</row>
    <row r="17" spans="1:96" ht="15.75" customHeight="1" x14ac:dyDescent="0.25">
      <c r="A17" s="8">
        <f>Mountaineer!A17</f>
        <v>44093</v>
      </c>
      <c r="B17" s="9">
        <v>13911111.51</v>
      </c>
      <c r="C17" s="9">
        <v>12467041.279999999</v>
      </c>
      <c r="D17" s="9">
        <v>194522.75</v>
      </c>
      <c r="E17" s="9">
        <f t="shared" ref="E17" si="143">B17-C17-D17</f>
        <v>1249547.4800000004</v>
      </c>
      <c r="F17" s="9">
        <f>ROUND(E17*0.04,2)+0.01</f>
        <v>49981.91</v>
      </c>
      <c r="G17" s="9">
        <f t="shared" ref="G17" si="144">ROUND(E17*0,2)</f>
        <v>0</v>
      </c>
      <c r="H17" s="9">
        <f t="shared" ref="H17" si="145">E17-F17-G17</f>
        <v>1199565.5700000005</v>
      </c>
      <c r="I17" s="9">
        <f t="shared" ref="I17" si="146">ROUND(H17*0,2)</f>
        <v>0</v>
      </c>
      <c r="J17" s="9">
        <f t="shared" ref="J17" si="147">ROUND((I17*0.58)+((I17*0.42)*0.1),2)</f>
        <v>0</v>
      </c>
      <c r="K17" s="9">
        <f t="shared" ref="K17" si="148">ROUND((I17*0.42)*0.9,2)</f>
        <v>0</v>
      </c>
      <c r="L17" s="69">
        <f t="shared" ref="L17" si="149">IF(J17+K17=I17,H17-I17,"ERROR")</f>
        <v>1199565.5700000005</v>
      </c>
      <c r="M17" s="9">
        <f t="shared" ref="M17" si="150">ROUND(L17*0.465,2)</f>
        <v>557797.99</v>
      </c>
      <c r="N17" s="9">
        <f>ROUND(L17*0.3,2)-0.02</f>
        <v>359869.64999999997</v>
      </c>
      <c r="O17" s="9">
        <f>ROUND(L17*0.1285,2)</f>
        <v>154144.18</v>
      </c>
      <c r="P17" s="9">
        <f t="shared" ref="P17" si="151">ROUND((L17*0.07)*0.9,2)</f>
        <v>75572.63</v>
      </c>
      <c r="Q17" s="9">
        <f>ROUND(L17*0.01,2)</f>
        <v>11995.66</v>
      </c>
      <c r="R17" s="9">
        <f t="shared" ref="R17" si="152">ROUND((L17*0.0075)*0.9,2)</f>
        <v>8097.07</v>
      </c>
      <c r="S17" s="9">
        <f t="shared" ref="S17" si="153">ROUND((L17*0.0075)*0.9,2)</f>
        <v>8097.07</v>
      </c>
      <c r="T17" s="9">
        <f>ROUND(L17*0.02,2)+0.01</f>
        <v>23991.32</v>
      </c>
      <c r="U17" s="9">
        <f t="shared" ref="U17" si="154">ROUND(L17*0,2)</f>
        <v>0</v>
      </c>
      <c r="V17" s="42">
        <f t="shared" ref="V17" si="155">E17/W17</f>
        <v>2028.4861688311696</v>
      </c>
      <c r="W17" s="10">
        <v>616</v>
      </c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</row>
    <row r="18" spans="1:96" ht="15.75" customHeight="1" x14ac:dyDescent="0.25">
      <c r="A18" s="8">
        <f>Mountaineer!A18</f>
        <v>44100</v>
      </c>
      <c r="B18" s="9">
        <v>14096403.119999999</v>
      </c>
      <c r="C18" s="9">
        <v>12613573.1</v>
      </c>
      <c r="D18" s="9">
        <v>193427.78</v>
      </c>
      <c r="E18" s="9">
        <f t="shared" ref="E18" si="156">B18-C18-D18</f>
        <v>1289402.2399999995</v>
      </c>
      <c r="F18" s="9">
        <f>ROUND(E18*0.04,2)</f>
        <v>51576.09</v>
      </c>
      <c r="G18" s="9">
        <f t="shared" ref="G18" si="157">ROUND(E18*0,2)</f>
        <v>0</v>
      </c>
      <c r="H18" s="9">
        <f t="shared" ref="H18" si="158">E18-F18-G18</f>
        <v>1237826.1499999994</v>
      </c>
      <c r="I18" s="9">
        <f t="shared" ref="I18" si="159">ROUND(H18*0,2)</f>
        <v>0</v>
      </c>
      <c r="J18" s="9">
        <f t="shared" ref="J18" si="160">ROUND((I18*0.58)+((I18*0.42)*0.1),2)</f>
        <v>0</v>
      </c>
      <c r="K18" s="9">
        <f t="shared" ref="K18" si="161">ROUND((I18*0.42)*0.9,2)</f>
        <v>0</v>
      </c>
      <c r="L18" s="69">
        <f t="shared" ref="L18" si="162">IF(J18+K18=I18,H18-I18,"ERROR")</f>
        <v>1237826.1499999994</v>
      </c>
      <c r="M18" s="9">
        <f t="shared" ref="M18" si="163">ROUND(L18*0.465,2)</f>
        <v>575589.16</v>
      </c>
      <c r="N18" s="9">
        <f>ROUND(L18*0.3,2)</f>
        <v>371347.85</v>
      </c>
      <c r="O18" s="9">
        <f>ROUND(L18*0.1285,2)-0.01</f>
        <v>159060.65</v>
      </c>
      <c r="P18" s="9">
        <f t="shared" ref="P18" si="164">ROUND((L18*0.07)*0.9,2)</f>
        <v>77983.05</v>
      </c>
      <c r="Q18" s="9">
        <f>ROUND(L18*0.01,2)</f>
        <v>12378.26</v>
      </c>
      <c r="R18" s="9">
        <f t="shared" ref="R18" si="165">ROUND((L18*0.0075)*0.9,2)</f>
        <v>8355.33</v>
      </c>
      <c r="S18" s="9">
        <f t="shared" ref="S18" si="166">ROUND((L18*0.0075)*0.9,2)</f>
        <v>8355.33</v>
      </c>
      <c r="T18" s="9">
        <f>ROUND(L18*0.02,2)</f>
        <v>24756.52</v>
      </c>
      <c r="U18" s="9">
        <f t="shared" ref="U18" si="167">ROUND(L18*0,2)</f>
        <v>0</v>
      </c>
      <c r="V18" s="42">
        <f t="shared" ref="V18" si="168">E18/W18</f>
        <v>2063.0435839999991</v>
      </c>
      <c r="W18" s="10">
        <v>625</v>
      </c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</row>
    <row r="19" spans="1:96" ht="15.75" customHeight="1" x14ac:dyDescent="0.25">
      <c r="A19" s="8">
        <f>Mountaineer!A19</f>
        <v>44107</v>
      </c>
      <c r="B19" s="9">
        <v>13737982.720000001</v>
      </c>
      <c r="C19" s="9">
        <v>12279211.029999999</v>
      </c>
      <c r="D19" s="9">
        <v>202906.48</v>
      </c>
      <c r="E19" s="9">
        <f t="shared" ref="E19" si="169">B19-C19-D19</f>
        <v>1255865.2100000014</v>
      </c>
      <c r="F19" s="9">
        <f>ROUND(E19*0.04,2)-0.01</f>
        <v>50234.6</v>
      </c>
      <c r="G19" s="9">
        <f t="shared" ref="G19" si="170">ROUND(E19*0,2)</f>
        <v>0</v>
      </c>
      <c r="H19" s="9">
        <f t="shared" ref="H19" si="171">E19-F19-G19</f>
        <v>1205630.6100000013</v>
      </c>
      <c r="I19" s="9">
        <f t="shared" ref="I19" si="172">ROUND(H19*0,2)</f>
        <v>0</v>
      </c>
      <c r="J19" s="9">
        <f t="shared" ref="J19" si="173">ROUND((I19*0.58)+((I19*0.42)*0.1),2)</f>
        <v>0</v>
      </c>
      <c r="K19" s="9">
        <f t="shared" ref="K19" si="174">ROUND((I19*0.42)*0.9,2)</f>
        <v>0</v>
      </c>
      <c r="L19" s="69">
        <f t="shared" ref="L19" si="175">IF(J19+K19=I19,H19-I19,"ERROR")</f>
        <v>1205630.6100000013</v>
      </c>
      <c r="M19" s="9">
        <f t="shared" ref="M19" si="176">ROUND(L19*0.465,2)</f>
        <v>560618.23</v>
      </c>
      <c r="N19" s="9">
        <f>ROUND(L19*0.3,2)+0.05</f>
        <v>361689.23</v>
      </c>
      <c r="O19" s="9">
        <f>ROUND(L19*0.1285,2)-0.03</f>
        <v>154923.5</v>
      </c>
      <c r="P19" s="9">
        <f t="shared" ref="P19" si="177">ROUND((L19*0.07)*0.9,2)</f>
        <v>75954.73</v>
      </c>
      <c r="Q19" s="9">
        <f>ROUND(L19*0.01,2)-0.01</f>
        <v>12056.3</v>
      </c>
      <c r="R19" s="9">
        <f t="shared" ref="R19" si="178">ROUND((L19*0.0075)*0.9,2)</f>
        <v>8138.01</v>
      </c>
      <c r="S19" s="9">
        <f t="shared" ref="S19" si="179">ROUND((L19*0.0075)*0.9,2)</f>
        <v>8138.01</v>
      </c>
      <c r="T19" s="9">
        <f>ROUND(L19*0.02,2)-0.01</f>
        <v>24112.600000000002</v>
      </c>
      <c r="U19" s="9">
        <f t="shared" ref="U19" si="180">ROUND(L19*0,2)</f>
        <v>0</v>
      </c>
      <c r="V19" s="42">
        <f t="shared" ref="V19" si="181">E19/W19</f>
        <v>1983.98927330174</v>
      </c>
      <c r="W19" s="10">
        <v>633</v>
      </c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</row>
    <row r="20" spans="1:96" ht="15.75" customHeight="1" x14ac:dyDescent="0.25">
      <c r="A20" s="8">
        <f>Mountaineer!A20</f>
        <v>44114</v>
      </c>
      <c r="B20" s="9">
        <v>14930690.83</v>
      </c>
      <c r="C20" s="9">
        <v>13540976.32</v>
      </c>
      <c r="D20" s="9">
        <v>235885.77</v>
      </c>
      <c r="E20" s="9">
        <f t="shared" ref="E20" si="182">B20-C20-D20</f>
        <v>1153828.7399999998</v>
      </c>
      <c r="F20" s="9">
        <f>ROUND(E20*0.04,2)</f>
        <v>46153.15</v>
      </c>
      <c r="G20" s="9">
        <f t="shared" ref="G20" si="183">ROUND(E20*0,2)</f>
        <v>0</v>
      </c>
      <c r="H20" s="9">
        <f t="shared" ref="H20" si="184">E20-F20-G20</f>
        <v>1107675.5899999999</v>
      </c>
      <c r="I20" s="9">
        <f t="shared" ref="I20" si="185">ROUND(H20*0,2)</f>
        <v>0</v>
      </c>
      <c r="J20" s="9">
        <f t="shared" ref="J20" si="186">ROUND((I20*0.58)+((I20*0.42)*0.1),2)</f>
        <v>0</v>
      </c>
      <c r="K20" s="9">
        <f t="shared" ref="K20" si="187">ROUND((I20*0.42)*0.9,2)</f>
        <v>0</v>
      </c>
      <c r="L20" s="69">
        <f t="shared" ref="L20" si="188">IF(J20+K20=I20,H20-I20,"ERROR")</f>
        <v>1107675.5899999999</v>
      </c>
      <c r="M20" s="9">
        <f t="shared" ref="M20" si="189">ROUND(L20*0.465,2)</f>
        <v>515069.15</v>
      </c>
      <c r="N20" s="9">
        <f>ROUND(L20*0.3,2)-0.03</f>
        <v>332302.64999999997</v>
      </c>
      <c r="O20" s="9">
        <f>ROUND(L20*0.1285,2)+0.02</f>
        <v>142336.32999999999</v>
      </c>
      <c r="P20" s="9">
        <f t="shared" ref="P20" si="190">ROUND((L20*0.07)*0.9,2)</f>
        <v>69783.56</v>
      </c>
      <c r="Q20" s="9">
        <f>ROUND(L20*0.01,2)</f>
        <v>11076.76</v>
      </c>
      <c r="R20" s="9">
        <f t="shared" ref="R20" si="191">ROUND((L20*0.0075)*0.9,2)</f>
        <v>7476.81</v>
      </c>
      <c r="S20" s="9">
        <f t="shared" ref="S20" si="192">ROUND((L20*0.0075)*0.9,2)</f>
        <v>7476.81</v>
      </c>
      <c r="T20" s="9">
        <f>ROUND(L20*0.02,2)+0.01</f>
        <v>22153.519999999997</v>
      </c>
      <c r="U20" s="9">
        <f t="shared" ref="U20" si="193">ROUND(L20*0,2)</f>
        <v>0</v>
      </c>
      <c r="V20" s="42">
        <f t="shared" ref="V20" si="194">E20/W20</f>
        <v>1811.3481004709572</v>
      </c>
      <c r="W20" s="10">
        <v>637</v>
      </c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</row>
    <row r="21" spans="1:96" ht="15.75" customHeight="1" x14ac:dyDescent="0.25">
      <c r="A21" s="8">
        <f>Mountaineer!A21</f>
        <v>44121</v>
      </c>
      <c r="B21" s="9">
        <v>14559105.77</v>
      </c>
      <c r="C21" s="9">
        <v>13020855.26</v>
      </c>
      <c r="D21" s="9">
        <v>228859.11</v>
      </c>
      <c r="E21" s="9">
        <f t="shared" ref="E21" si="195">B21-C21-D21</f>
        <v>1309391.3999999999</v>
      </c>
      <c r="F21" s="9">
        <f>ROUND(E21*0.04,2)+0.01</f>
        <v>52375.670000000006</v>
      </c>
      <c r="G21" s="9">
        <f t="shared" ref="G21" si="196">ROUND(E21*0,2)</f>
        <v>0</v>
      </c>
      <c r="H21" s="9">
        <f t="shared" ref="H21" si="197">E21-F21-G21</f>
        <v>1257015.73</v>
      </c>
      <c r="I21" s="9">
        <f t="shared" ref="I21" si="198">ROUND(H21*0,2)</f>
        <v>0</v>
      </c>
      <c r="J21" s="9">
        <f t="shared" ref="J21" si="199">ROUND((I21*0.58)+((I21*0.42)*0.1),2)</f>
        <v>0</v>
      </c>
      <c r="K21" s="9">
        <f t="shared" ref="K21" si="200">ROUND((I21*0.42)*0.9,2)</f>
        <v>0</v>
      </c>
      <c r="L21" s="69">
        <f t="shared" ref="L21" si="201">IF(J21+K21=I21,H21-I21,"ERROR")</f>
        <v>1257015.73</v>
      </c>
      <c r="M21" s="9">
        <f t="shared" ref="M21" si="202">ROUND(L21*0.465,2)</f>
        <v>584512.31000000006</v>
      </c>
      <c r="N21" s="9">
        <f>ROUND(L21*0.3,2)-0.01</f>
        <v>377104.70999999996</v>
      </c>
      <c r="O21" s="9">
        <f>ROUND(L21*0.1285,2)</f>
        <v>161526.51999999999</v>
      </c>
      <c r="P21" s="9">
        <f t="shared" ref="P21" si="203">ROUND((L21*0.07)*0.9,2)</f>
        <v>79191.990000000005</v>
      </c>
      <c r="Q21" s="9">
        <f>ROUND(L21*0.01,2)</f>
        <v>12570.16</v>
      </c>
      <c r="R21" s="9">
        <f t="shared" ref="R21" si="204">ROUND((L21*0.0075)*0.9,2)</f>
        <v>8484.86</v>
      </c>
      <c r="S21" s="9">
        <f t="shared" ref="S21" si="205">ROUND((L21*0.0075)*0.9,2)</f>
        <v>8484.86</v>
      </c>
      <c r="T21" s="9">
        <f>ROUND(L21*0.02,2)+0.01</f>
        <v>25140.32</v>
      </c>
      <c r="U21" s="9">
        <f t="shared" ref="U21" si="206">ROUND(L21*0,2)</f>
        <v>0</v>
      </c>
      <c r="V21" s="42">
        <f t="shared" ref="V21" si="207">E21/W21</f>
        <v>2042.7322932917316</v>
      </c>
      <c r="W21" s="10">
        <v>641</v>
      </c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</row>
    <row r="22" spans="1:96" ht="15.75" customHeight="1" x14ac:dyDescent="0.25">
      <c r="A22" s="8">
        <f>Mountaineer!A22</f>
        <v>44128</v>
      </c>
      <c r="B22" s="9">
        <v>13952220.890000001</v>
      </c>
      <c r="C22" s="9">
        <v>12477736.210000001</v>
      </c>
      <c r="D22" s="9">
        <v>236319.96</v>
      </c>
      <c r="E22" s="9">
        <f t="shared" ref="E22" si="208">B22-C22-D22</f>
        <v>1238164.7199999997</v>
      </c>
      <c r="F22" s="9">
        <f>ROUND(E22*0.04,2)+0.01</f>
        <v>49526.6</v>
      </c>
      <c r="G22" s="9">
        <f t="shared" ref="G22" si="209">ROUND(E22*0,2)</f>
        <v>0</v>
      </c>
      <c r="H22" s="9">
        <f t="shared" ref="H22" si="210">E22-F22-G22</f>
        <v>1188638.1199999996</v>
      </c>
      <c r="I22" s="9">
        <f t="shared" ref="I22" si="211">ROUND(H22*0,2)</f>
        <v>0</v>
      </c>
      <c r="J22" s="9">
        <f t="shared" ref="J22" si="212">ROUND((I22*0.58)+((I22*0.42)*0.1),2)</f>
        <v>0</v>
      </c>
      <c r="K22" s="9">
        <f t="shared" ref="K22" si="213">ROUND((I22*0.42)*0.9,2)</f>
        <v>0</v>
      </c>
      <c r="L22" s="69">
        <f t="shared" ref="L22" si="214">IF(J22+K22=I22,H22-I22,"ERROR")</f>
        <v>1188638.1199999996</v>
      </c>
      <c r="M22" s="9">
        <f t="shared" ref="M22" si="215">ROUND(L22*0.465,2)</f>
        <v>552716.73</v>
      </c>
      <c r="N22" s="9">
        <f>ROUND(L22*0.3,2)-0.01</f>
        <v>356591.43</v>
      </c>
      <c r="O22" s="9">
        <f>ROUND(L22*0.1285,2)</f>
        <v>152740</v>
      </c>
      <c r="P22" s="9">
        <f t="shared" ref="P22" si="216">ROUND((L22*0.07)*0.9,2)</f>
        <v>74884.2</v>
      </c>
      <c r="Q22" s="9">
        <f>ROUND(L22*0.01,2)</f>
        <v>11886.38</v>
      </c>
      <c r="R22" s="9">
        <f t="shared" ref="R22" si="217">ROUND((L22*0.0075)*0.9,2)</f>
        <v>8023.31</v>
      </c>
      <c r="S22" s="9">
        <f t="shared" ref="S22" si="218">ROUND((L22*0.0075)*0.9,2)</f>
        <v>8023.31</v>
      </c>
      <c r="T22" s="9">
        <f>ROUND(L22*0.02,2)</f>
        <v>23772.76</v>
      </c>
      <c r="U22" s="9">
        <f t="shared" ref="U22" si="219">ROUND(L22*0,2)</f>
        <v>0</v>
      </c>
      <c r="V22" s="42">
        <f t="shared" ref="V22" si="220">E22/W22</f>
        <v>1919.6352248062012</v>
      </c>
      <c r="W22" s="10">
        <v>645</v>
      </c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</row>
    <row r="23" spans="1:96" ht="15.75" customHeight="1" x14ac:dyDescent="0.25">
      <c r="A23" s="8">
        <f>Mountaineer!A23</f>
        <v>44135</v>
      </c>
      <c r="B23" s="9">
        <v>13299480.439999999</v>
      </c>
      <c r="C23" s="9">
        <v>11829651.51</v>
      </c>
      <c r="D23" s="9">
        <v>204048</v>
      </c>
      <c r="E23" s="9">
        <f t="shared" ref="E23" si="221">B23-C23-D23</f>
        <v>1265780.9299999997</v>
      </c>
      <c r="F23" s="9">
        <f>ROUND(E23*0.04,2)</f>
        <v>50631.24</v>
      </c>
      <c r="G23" s="9">
        <f t="shared" ref="G23" si="222">ROUND(E23*0,2)</f>
        <v>0</v>
      </c>
      <c r="H23" s="9">
        <f t="shared" ref="H23" si="223">E23-F23-G23</f>
        <v>1215149.6899999997</v>
      </c>
      <c r="I23" s="9">
        <f t="shared" ref="I23" si="224">ROUND(H23*0,2)</f>
        <v>0</v>
      </c>
      <c r="J23" s="9">
        <f t="shared" ref="J23" si="225">ROUND((I23*0.58)+((I23*0.42)*0.1),2)</f>
        <v>0</v>
      </c>
      <c r="K23" s="9">
        <f t="shared" ref="K23" si="226">ROUND((I23*0.42)*0.9,2)</f>
        <v>0</v>
      </c>
      <c r="L23" s="69">
        <f t="shared" ref="L23" si="227">IF(J23+K23=I23,H23-I23,"ERROR")</f>
        <v>1215149.6899999997</v>
      </c>
      <c r="M23" s="9">
        <f t="shared" ref="M23" si="228">ROUND(L23*0.465,2)</f>
        <v>565044.61</v>
      </c>
      <c r="N23" s="9">
        <f>ROUND(L23*0.3,2)-0.02</f>
        <v>364544.88999999996</v>
      </c>
      <c r="O23" s="9">
        <f>ROUND(L23*0.1285,2)</f>
        <v>156146.74</v>
      </c>
      <c r="P23" s="9">
        <f t="shared" ref="P23" si="229">ROUND((L23*0.07)*0.9,2)</f>
        <v>76554.429999999993</v>
      </c>
      <c r="Q23" s="9">
        <f>ROUND(L23*0.01,2)</f>
        <v>12151.5</v>
      </c>
      <c r="R23" s="9">
        <f t="shared" ref="R23" si="230">ROUND((L23*0.0075)*0.9,2)</f>
        <v>8202.26</v>
      </c>
      <c r="S23" s="9">
        <f t="shared" ref="S23" si="231">ROUND((L23*0.0075)*0.9,2)</f>
        <v>8202.26</v>
      </c>
      <c r="T23" s="9">
        <f>ROUND(L23*0.02,2)+0.01</f>
        <v>24303</v>
      </c>
      <c r="U23" s="9">
        <f t="shared" ref="U23" si="232">ROUND(L23*0,2)</f>
        <v>0</v>
      </c>
      <c r="V23" s="42">
        <f t="shared" ref="V23" si="233">E23/W23</f>
        <v>1941.3817944785271</v>
      </c>
      <c r="W23" s="10">
        <v>652</v>
      </c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</row>
    <row r="24" spans="1:96" ht="15.75" customHeight="1" x14ac:dyDescent="0.25">
      <c r="A24" s="8">
        <f>Mountaineer!A24</f>
        <v>44142</v>
      </c>
      <c r="B24" s="9">
        <v>12963554.109999999</v>
      </c>
      <c r="C24" s="9">
        <v>11659419.470000001</v>
      </c>
      <c r="D24" s="9">
        <v>182317.74</v>
      </c>
      <c r="E24" s="9">
        <f t="shared" ref="E24" si="234">B24-C24-D24</f>
        <v>1121816.8999999987</v>
      </c>
      <c r="F24" s="9">
        <f>ROUND(E24*0.04,2)</f>
        <v>44872.68</v>
      </c>
      <c r="G24" s="9">
        <f t="shared" ref="G24" si="235">ROUND(E24*0,2)</f>
        <v>0</v>
      </c>
      <c r="H24" s="9">
        <f t="shared" ref="H24" si="236">E24-F24-G24</f>
        <v>1076944.2199999988</v>
      </c>
      <c r="I24" s="9">
        <f t="shared" ref="I24" si="237">ROUND(H24*0,2)</f>
        <v>0</v>
      </c>
      <c r="J24" s="9">
        <f t="shared" ref="J24" si="238">ROUND((I24*0.58)+((I24*0.42)*0.1),2)</f>
        <v>0</v>
      </c>
      <c r="K24" s="9">
        <f t="shared" ref="K24" si="239">ROUND((I24*0.42)*0.9,2)</f>
        <v>0</v>
      </c>
      <c r="L24" s="69">
        <f t="shared" ref="L24" si="240">IF(J24+K24=I24,H24-I24,"ERROR")</f>
        <v>1076944.2199999988</v>
      </c>
      <c r="M24" s="9">
        <f t="shared" ref="M24" si="241">ROUND(L24*0.465,2)</f>
        <v>500779.06</v>
      </c>
      <c r="N24" s="9">
        <f>ROUND(L24*0.3,2)+0.01</f>
        <v>323083.28000000003</v>
      </c>
      <c r="O24" s="9">
        <f>ROUND(L24*0.1285,2)</f>
        <v>138387.32999999999</v>
      </c>
      <c r="P24" s="9">
        <f t="shared" ref="P24" si="242">ROUND((L24*0.07)*0.9,2)</f>
        <v>67847.490000000005</v>
      </c>
      <c r="Q24" s="9">
        <f>ROUND(L24*0.01,2)</f>
        <v>10769.44</v>
      </c>
      <c r="R24" s="9">
        <f t="shared" ref="R24" si="243">ROUND((L24*0.0075)*0.9,2)</f>
        <v>7269.37</v>
      </c>
      <c r="S24" s="9">
        <f t="shared" ref="S24" si="244">ROUND((L24*0.0075)*0.9,2)</f>
        <v>7269.37</v>
      </c>
      <c r="T24" s="9">
        <f>ROUND(L24*0.02,2)</f>
        <v>21538.880000000001</v>
      </c>
      <c r="U24" s="9">
        <f t="shared" ref="U24" si="245">ROUND(L24*0,2)</f>
        <v>0</v>
      </c>
      <c r="V24" s="42">
        <f t="shared" ref="V24" si="246">E24/W24</f>
        <v>1725.8721538461518</v>
      </c>
      <c r="W24" s="10">
        <v>650</v>
      </c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</row>
    <row r="25" spans="1:96" ht="15.75" customHeight="1" x14ac:dyDescent="0.25">
      <c r="A25" s="8">
        <f>Mountaineer!A25</f>
        <v>44149</v>
      </c>
      <c r="B25" s="9">
        <v>13226899.27</v>
      </c>
      <c r="C25" s="9">
        <v>11854717.92</v>
      </c>
      <c r="D25" s="9">
        <v>190703.26999999996</v>
      </c>
      <c r="E25" s="9">
        <f t="shared" ref="E25" si="247">B25-C25-D25</f>
        <v>1181478.0799999996</v>
      </c>
      <c r="F25" s="9">
        <f>ROUND(E25*0.04,2)</f>
        <v>47259.12</v>
      </c>
      <c r="G25" s="9">
        <f t="shared" ref="G25" si="248">ROUND(E25*0,2)</f>
        <v>0</v>
      </c>
      <c r="H25" s="9">
        <f t="shared" ref="H25" si="249">E25-F25-G25</f>
        <v>1134218.9599999995</v>
      </c>
      <c r="I25" s="9">
        <f t="shared" ref="I25" si="250">ROUND(H25*0,2)</f>
        <v>0</v>
      </c>
      <c r="J25" s="9">
        <f t="shared" ref="J25" si="251">ROUND((I25*0.58)+((I25*0.42)*0.1),2)</f>
        <v>0</v>
      </c>
      <c r="K25" s="9">
        <f t="shared" ref="K25" si="252">ROUND((I25*0.42)*0.9,2)</f>
        <v>0</v>
      </c>
      <c r="L25" s="69">
        <f t="shared" ref="L25" si="253">IF(J25+K25=I25,H25-I25,"ERROR")</f>
        <v>1134218.9599999995</v>
      </c>
      <c r="M25" s="9">
        <f t="shared" ref="M25" si="254">ROUND(L25*0.465,2)</f>
        <v>527411.81999999995</v>
      </c>
      <c r="N25" s="9">
        <f>ROUND(L25*0.3,2)+0.04</f>
        <v>340265.73</v>
      </c>
      <c r="O25" s="9">
        <f>ROUND(L25*0.1285,2)-0.02</f>
        <v>145747.12000000002</v>
      </c>
      <c r="P25" s="9">
        <f t="shared" ref="P25" si="255">ROUND((L25*0.07)*0.9,2)</f>
        <v>71455.789999999994</v>
      </c>
      <c r="Q25" s="9">
        <f>ROUND(L25*0.01,2)-0.01</f>
        <v>11342.18</v>
      </c>
      <c r="R25" s="9">
        <f t="shared" ref="R25" si="256">ROUND((L25*0.0075)*0.9,2)</f>
        <v>7655.98</v>
      </c>
      <c r="S25" s="9">
        <f t="shared" ref="S25" si="257">ROUND((L25*0.0075)*0.9,2)</f>
        <v>7655.98</v>
      </c>
      <c r="T25" s="9">
        <f>ROUND(L25*0.02,2)-0.02</f>
        <v>22684.36</v>
      </c>
      <c r="U25" s="9">
        <f t="shared" ref="U25" si="258">ROUND(L25*0,2)</f>
        <v>0</v>
      </c>
      <c r="V25" s="42">
        <f t="shared" ref="V25" si="259">E25/W25</f>
        <v>1798.2923592085231</v>
      </c>
      <c r="W25" s="10">
        <v>657</v>
      </c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</row>
    <row r="26" spans="1:96" ht="15.75" customHeight="1" x14ac:dyDescent="0.25">
      <c r="A26" s="8">
        <f>Mountaineer!A26</f>
        <v>44156</v>
      </c>
      <c r="B26" s="9">
        <v>9363585.4700000007</v>
      </c>
      <c r="C26" s="9">
        <v>8417609.0299999993</v>
      </c>
      <c r="D26" s="9">
        <v>166531.96</v>
      </c>
      <c r="E26" s="9">
        <f t="shared" ref="E26" si="260">B26-C26-D26</f>
        <v>779444.48000000138</v>
      </c>
      <c r="F26" s="9">
        <f>ROUND(E26*0.04,2)-0.01</f>
        <v>31177.77</v>
      </c>
      <c r="G26" s="9">
        <f t="shared" ref="G26" si="261">ROUND(E26*0,2)</f>
        <v>0</v>
      </c>
      <c r="H26" s="9">
        <f t="shared" ref="H26" si="262">E26-F26-G26</f>
        <v>748266.71000000136</v>
      </c>
      <c r="I26" s="9">
        <f t="shared" ref="I26" si="263">ROUND(H26*0,2)</f>
        <v>0</v>
      </c>
      <c r="J26" s="9">
        <f t="shared" ref="J26" si="264">ROUND((I26*0.58)+((I26*0.42)*0.1),2)</f>
        <v>0</v>
      </c>
      <c r="K26" s="9">
        <f t="shared" ref="K26" si="265">ROUND((I26*0.42)*0.9,2)</f>
        <v>0</v>
      </c>
      <c r="L26" s="69">
        <f t="shared" ref="L26" si="266">IF(J26+K26=I26,H26-I26,"ERROR")</f>
        <v>748266.71000000136</v>
      </c>
      <c r="M26" s="9">
        <f t="shared" ref="M26" si="267">ROUND(L26*0.465,2)</f>
        <v>347944.02</v>
      </c>
      <c r="N26" s="9">
        <f>ROUND(L26*0.3,2)+0.04</f>
        <v>224480.05000000002</v>
      </c>
      <c r="O26" s="9">
        <f>ROUND(L26*0.1285,2)-0.01</f>
        <v>96152.260000000009</v>
      </c>
      <c r="P26" s="9">
        <f t="shared" ref="P26" si="268">ROUND((L26*0.07)*0.9,2)</f>
        <v>47140.800000000003</v>
      </c>
      <c r="Q26" s="9">
        <f>ROUND(L26*0.01,2)-0.01</f>
        <v>7482.66</v>
      </c>
      <c r="R26" s="9">
        <f t="shared" ref="R26" si="269">ROUND((L26*0.0075)*0.9,2)</f>
        <v>5050.8</v>
      </c>
      <c r="S26" s="9">
        <f t="shared" ref="S26" si="270">ROUND((L26*0.0075)*0.9,2)</f>
        <v>5050.8</v>
      </c>
      <c r="T26" s="9">
        <f>ROUND(L26*0.02,2)-0.01</f>
        <v>14965.32</v>
      </c>
      <c r="U26" s="9">
        <f t="shared" ref="U26" si="271">ROUND(L26*0,2)</f>
        <v>0</v>
      </c>
      <c r="V26" s="42">
        <f t="shared" ref="V26" si="272">E26/W26</f>
        <v>1212.1998133748077</v>
      </c>
      <c r="W26" s="10">
        <v>643</v>
      </c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</row>
    <row r="27" spans="1:96" ht="15.75" customHeight="1" x14ac:dyDescent="0.25">
      <c r="A27" s="8">
        <f>Mountaineer!A27</f>
        <v>44163</v>
      </c>
      <c r="B27" s="9">
        <v>9818374.8000000007</v>
      </c>
      <c r="C27" s="9">
        <v>8844580.0199999996</v>
      </c>
      <c r="D27" s="9">
        <v>153169.47999999998</v>
      </c>
      <c r="E27" s="9">
        <f t="shared" ref="E27" si="273">B27-C27-D27</f>
        <v>820625.30000000121</v>
      </c>
      <c r="F27" s="9">
        <f>ROUND(E27*0.04,2)</f>
        <v>32825.01</v>
      </c>
      <c r="G27" s="9">
        <f t="shared" ref="G27" si="274">ROUND(E27*0,2)</f>
        <v>0</v>
      </c>
      <c r="H27" s="9">
        <f t="shared" ref="H27" si="275">E27-F27-G27</f>
        <v>787800.2900000012</v>
      </c>
      <c r="I27" s="9">
        <f t="shared" ref="I27" si="276">ROUND(H27*0,2)</f>
        <v>0</v>
      </c>
      <c r="J27" s="9">
        <f t="shared" ref="J27" si="277">ROUND((I27*0.58)+((I27*0.42)*0.1),2)</f>
        <v>0</v>
      </c>
      <c r="K27" s="9">
        <f t="shared" ref="K27" si="278">ROUND((I27*0.42)*0.9,2)</f>
        <v>0</v>
      </c>
      <c r="L27" s="69">
        <f t="shared" ref="L27" si="279">IF(J27+K27=I27,H27-I27,"ERROR")</f>
        <v>787800.2900000012</v>
      </c>
      <c r="M27" s="9">
        <f t="shared" ref="M27" si="280">ROUND(L27*0.465,2)</f>
        <v>366327.13</v>
      </c>
      <c r="N27" s="9">
        <f>ROUND(L27*0.3,2)+0.02</f>
        <v>236340.11</v>
      </c>
      <c r="O27" s="9">
        <f>ROUND(L27*0.1285,2)-0.01</f>
        <v>101232.33</v>
      </c>
      <c r="P27" s="9">
        <f t="shared" ref="P27" si="281">ROUND((L27*0.07)*0.9,2)</f>
        <v>49631.42</v>
      </c>
      <c r="Q27" s="9">
        <f>ROUND(L27*0.01,2)</f>
        <v>7878</v>
      </c>
      <c r="R27" s="9">
        <f t="shared" ref="R27" si="282">ROUND((L27*0.0075)*0.9,2)</f>
        <v>5317.65</v>
      </c>
      <c r="S27" s="9">
        <f t="shared" ref="S27" si="283">ROUND((L27*0.0075)*0.9,2)</f>
        <v>5317.65</v>
      </c>
      <c r="T27" s="9">
        <f>ROUND(L27*0.02,2)-0.01</f>
        <v>15756</v>
      </c>
      <c r="U27" s="9">
        <f t="shared" ref="U27" si="284">ROUND(L27*0,2)</f>
        <v>0</v>
      </c>
      <c r="V27" s="42">
        <f t="shared" ref="V27" si="285">E27/W27</f>
        <v>1243.3716666666685</v>
      </c>
      <c r="W27" s="10">
        <v>660</v>
      </c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</row>
    <row r="28" spans="1:96" ht="15.75" customHeight="1" x14ac:dyDescent="0.25">
      <c r="A28" s="8">
        <f>Mountaineer!A28</f>
        <v>44170</v>
      </c>
      <c r="B28" s="9">
        <v>9530533.9600000009</v>
      </c>
      <c r="C28" s="9">
        <v>8723080.9199999999</v>
      </c>
      <c r="D28" s="9">
        <v>147976.66</v>
      </c>
      <c r="E28" s="9">
        <f t="shared" ref="E28" si="286">B28-C28-D28</f>
        <v>659476.38000000094</v>
      </c>
      <c r="F28" s="9">
        <f>ROUND(E28*0.04,2)</f>
        <v>26379.06</v>
      </c>
      <c r="G28" s="9">
        <f t="shared" ref="G28" si="287">ROUND(E28*0,2)</f>
        <v>0</v>
      </c>
      <c r="H28" s="9">
        <f t="shared" ref="H28" si="288">E28-F28-G28</f>
        <v>633097.32000000088</v>
      </c>
      <c r="I28" s="9">
        <f t="shared" ref="I28" si="289">ROUND(H28*0,2)</f>
        <v>0</v>
      </c>
      <c r="J28" s="9">
        <f t="shared" ref="J28" si="290">ROUND((I28*0.58)+((I28*0.42)*0.1),2)</f>
        <v>0</v>
      </c>
      <c r="K28" s="9">
        <f t="shared" ref="K28" si="291">ROUND((I28*0.42)*0.9,2)</f>
        <v>0</v>
      </c>
      <c r="L28" s="69">
        <f t="shared" ref="L28" si="292">IF(J28+K28=I28,H28-I28,"ERROR")</f>
        <v>633097.32000000088</v>
      </c>
      <c r="M28" s="9">
        <f t="shared" ref="M28" si="293">ROUND(L28*0.465,2)</f>
        <v>294390.25</v>
      </c>
      <c r="N28" s="9">
        <f>ROUND(L28*0.3,2)-0.03</f>
        <v>189929.17</v>
      </c>
      <c r="O28" s="9">
        <f>ROUND(L28*0.1285,2)</f>
        <v>81353.009999999995</v>
      </c>
      <c r="P28" s="9">
        <f t="shared" ref="P28" si="294">ROUND((L28*0.07)*0.9,2)</f>
        <v>39885.129999999997</v>
      </c>
      <c r="Q28" s="9">
        <f>ROUND(L28*0.01,2)+0.01</f>
        <v>6330.9800000000005</v>
      </c>
      <c r="R28" s="9">
        <f t="shared" ref="R28:R33" si="295">ROUND((L28*0.0075)*0.9,2)</f>
        <v>4273.41</v>
      </c>
      <c r="S28" s="9">
        <f t="shared" ref="S28:S33" si="296">ROUND((L28*0.0075)*0.9,2)</f>
        <v>4273.41</v>
      </c>
      <c r="T28" s="9">
        <f>ROUND(L28*0.02,2)+0.01</f>
        <v>12661.960000000001</v>
      </c>
      <c r="U28" s="9">
        <f t="shared" ref="U28" si="297">ROUND(L28*0,2)</f>
        <v>0</v>
      </c>
      <c r="V28" s="42">
        <f t="shared" ref="V28" si="298">E28/W28</f>
        <v>1013.0205529953931</v>
      </c>
      <c r="W28" s="10">
        <v>651</v>
      </c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</row>
    <row r="29" spans="1:96" ht="15.75" customHeight="1" x14ac:dyDescent="0.25">
      <c r="A29" s="8">
        <f>Mountaineer!A29</f>
        <v>44177</v>
      </c>
      <c r="B29" s="9">
        <v>11481312.720000001</v>
      </c>
      <c r="C29" s="9">
        <v>10237200.530000001</v>
      </c>
      <c r="D29" s="9">
        <v>185908.26</v>
      </c>
      <c r="E29" s="9">
        <f t="shared" ref="E29" si="299">B29-C29-D29</f>
        <v>1058203.9299999995</v>
      </c>
      <c r="F29" s="9">
        <f>ROUND(E29*0.04,2)+0.01</f>
        <v>42328.170000000006</v>
      </c>
      <c r="G29" s="9">
        <f t="shared" ref="G29" si="300">ROUND(E29*0,2)</f>
        <v>0</v>
      </c>
      <c r="H29" s="9">
        <f t="shared" ref="H29" si="301">E29-F29-G29</f>
        <v>1015875.7599999994</v>
      </c>
      <c r="I29" s="9">
        <f t="shared" ref="I29" si="302">ROUND(H29*0,2)</f>
        <v>0</v>
      </c>
      <c r="J29" s="9">
        <f t="shared" ref="J29" si="303">ROUND((I29*0.58)+((I29*0.42)*0.1),2)</f>
        <v>0</v>
      </c>
      <c r="K29" s="9">
        <f t="shared" ref="K29" si="304">ROUND((I29*0.42)*0.9,2)</f>
        <v>0</v>
      </c>
      <c r="L29" s="69">
        <f t="shared" ref="L29" si="305">IF(J29+K29=I29,H29-I29,"ERROR")</f>
        <v>1015875.7599999994</v>
      </c>
      <c r="M29" s="9">
        <f t="shared" ref="M29" si="306">ROUND(L29*0.465,2)</f>
        <v>472382.23</v>
      </c>
      <c r="N29" s="9">
        <f>ROUND(L29*0.3,2)-0.01</f>
        <v>304762.71999999997</v>
      </c>
      <c r="O29" s="9">
        <f>ROUND(L29*0.1285,2)</f>
        <v>130540.04</v>
      </c>
      <c r="P29" s="9">
        <f t="shared" ref="P29" si="307">ROUND((L29*0.07)*0.9,2)</f>
        <v>64000.17</v>
      </c>
      <c r="Q29" s="9">
        <f>ROUND(L29*0.01,2)</f>
        <v>10158.76</v>
      </c>
      <c r="R29" s="9">
        <f t="shared" si="295"/>
        <v>6857.16</v>
      </c>
      <c r="S29" s="9">
        <f t="shared" si="296"/>
        <v>6857.16</v>
      </c>
      <c r="T29" s="9">
        <f>ROUND(L29*0.02,2)</f>
        <v>20317.52</v>
      </c>
      <c r="U29" s="9">
        <f t="shared" ref="U29" si="308">ROUND(L29*0,2)</f>
        <v>0</v>
      </c>
      <c r="V29" s="42">
        <f t="shared" ref="V29" si="309">E29/W29</f>
        <v>1598.4953625377636</v>
      </c>
      <c r="W29" s="10">
        <v>662</v>
      </c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</row>
    <row r="30" spans="1:96" ht="15.75" customHeight="1" x14ac:dyDescent="0.25">
      <c r="A30" s="8">
        <f>Mountaineer!A30</f>
        <v>44184</v>
      </c>
      <c r="B30" s="9">
        <v>13417190.960000001</v>
      </c>
      <c r="C30" s="9">
        <v>12036395.210000001</v>
      </c>
      <c r="D30" s="9">
        <v>168602.50999999998</v>
      </c>
      <c r="E30" s="9">
        <f t="shared" ref="E30" si="310">B30-C30-D30</f>
        <v>1212193.24</v>
      </c>
      <c r="F30" s="9">
        <f>ROUND(E30*0.04,2)</f>
        <v>48487.73</v>
      </c>
      <c r="G30" s="9">
        <f t="shared" ref="G30" si="311">ROUND(E30*0,2)</f>
        <v>0</v>
      </c>
      <c r="H30" s="9">
        <f t="shared" ref="H30" si="312">E30-F30-G30</f>
        <v>1163705.51</v>
      </c>
      <c r="I30" s="9">
        <f t="shared" ref="I30" si="313">ROUND(H30*0,2)</f>
        <v>0</v>
      </c>
      <c r="J30" s="9">
        <f t="shared" ref="J30" si="314">ROUND((I30*0.58)+((I30*0.42)*0.1),2)</f>
        <v>0</v>
      </c>
      <c r="K30" s="9">
        <f t="shared" ref="K30" si="315">ROUND((I30*0.42)*0.9,2)</f>
        <v>0</v>
      </c>
      <c r="L30" s="69">
        <f t="shared" ref="L30" si="316">IF(J30+K30=I30,H30-I30,"ERROR")</f>
        <v>1163705.51</v>
      </c>
      <c r="M30" s="9">
        <f t="shared" ref="M30" si="317">ROUND(L30*0.465,2)</f>
        <v>541123.06000000006</v>
      </c>
      <c r="N30" s="9">
        <f>ROUND(L30*0.3,2)-0.04</f>
        <v>349111.61000000004</v>
      </c>
      <c r="O30" s="9">
        <f>ROUND(L30*0.1285,2)+0.03</f>
        <v>149536.19</v>
      </c>
      <c r="P30" s="9">
        <f t="shared" ref="P30" si="318">ROUND((L30*0.07)*0.9,2)</f>
        <v>73313.45</v>
      </c>
      <c r="Q30" s="9">
        <f>ROUND(L30*0.01,2)</f>
        <v>11637.06</v>
      </c>
      <c r="R30" s="9">
        <f t="shared" si="295"/>
        <v>7855.01</v>
      </c>
      <c r="S30" s="9">
        <f t="shared" si="296"/>
        <v>7855.01</v>
      </c>
      <c r="T30" s="9">
        <f>ROUND(L30*0.02,2)+0.01</f>
        <v>23274.12</v>
      </c>
      <c r="U30" s="9">
        <f t="shared" ref="U30" si="319">ROUND(L30*0,2)</f>
        <v>0</v>
      </c>
      <c r="V30" s="42">
        <f t="shared" ref="V30" si="320">E30/W30</f>
        <v>1772.2123391812866</v>
      </c>
      <c r="W30" s="10">
        <v>684</v>
      </c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</row>
    <row r="31" spans="1:96" ht="15.75" customHeight="1" x14ac:dyDescent="0.25">
      <c r="A31" s="8">
        <f>Mountaineer!A31</f>
        <v>44191</v>
      </c>
      <c r="B31" s="9">
        <v>14947933.789999999</v>
      </c>
      <c r="C31" s="9">
        <v>13423227.509999998</v>
      </c>
      <c r="D31" s="9">
        <v>143428.19</v>
      </c>
      <c r="E31" s="9">
        <f t="shared" ref="E31" si="321">B31-C31-D31</f>
        <v>1381278.0900000012</v>
      </c>
      <c r="F31" s="9">
        <f>ROUND(E31*0.04,2)+0.01</f>
        <v>55251.130000000005</v>
      </c>
      <c r="G31" s="9">
        <f t="shared" ref="G31" si="322">ROUND(E31*0,2)</f>
        <v>0</v>
      </c>
      <c r="H31" s="9">
        <f t="shared" ref="H31" si="323">E31-F31-G31</f>
        <v>1326026.9600000014</v>
      </c>
      <c r="I31" s="9">
        <f t="shared" ref="I31" si="324">ROUND(H31*0,2)</f>
        <v>0</v>
      </c>
      <c r="J31" s="9">
        <f t="shared" ref="J31" si="325">ROUND((I31*0.58)+((I31*0.42)*0.1),2)</f>
        <v>0</v>
      </c>
      <c r="K31" s="9">
        <f t="shared" ref="K31" si="326">ROUND((I31*0.42)*0.9,2)</f>
        <v>0</v>
      </c>
      <c r="L31" s="69">
        <f t="shared" ref="L31" si="327">IF(J31+K31=I31,H31-I31,"ERROR")</f>
        <v>1326026.9600000014</v>
      </c>
      <c r="M31" s="9">
        <f t="shared" ref="M31" si="328">ROUND(L31*0.465,2)</f>
        <v>616602.54</v>
      </c>
      <c r="N31" s="9">
        <f>ROUND(L31*0.3,2)+0.04</f>
        <v>397808.13</v>
      </c>
      <c r="O31" s="9">
        <f>ROUND(L31*0.1285,2)-0.01</f>
        <v>170394.44999999998</v>
      </c>
      <c r="P31" s="9">
        <f t="shared" ref="P31" si="329">ROUND((L31*0.07)*0.9,2)</f>
        <v>83539.7</v>
      </c>
      <c r="Q31" s="9">
        <f>ROUND(L31*0.01,2)-0.01</f>
        <v>13260.26</v>
      </c>
      <c r="R31" s="9">
        <f t="shared" si="295"/>
        <v>8950.68</v>
      </c>
      <c r="S31" s="9">
        <f t="shared" si="296"/>
        <v>8950.68</v>
      </c>
      <c r="T31" s="9">
        <f>ROUND(L31*0.02,2)-0.02</f>
        <v>26520.52</v>
      </c>
      <c r="U31" s="9">
        <f t="shared" ref="U31" si="330">ROUND(L31*0,2)</f>
        <v>0</v>
      </c>
      <c r="V31" s="42">
        <f t="shared" ref="V31" si="331">E31/W31</f>
        <v>1807.9556151832478</v>
      </c>
      <c r="W31" s="10">
        <v>764</v>
      </c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</row>
    <row r="32" spans="1:96" ht="15.75" customHeight="1" x14ac:dyDescent="0.25">
      <c r="A32" s="8">
        <f>Mountaineer!A32</f>
        <v>44198</v>
      </c>
      <c r="B32" s="9">
        <v>28426970.969999999</v>
      </c>
      <c r="C32" s="9">
        <v>25368672.720000003</v>
      </c>
      <c r="D32" s="9">
        <v>290705.69</v>
      </c>
      <c r="E32" s="9">
        <f t="shared" ref="E32" si="332">B32-C32-D32</f>
        <v>2767592.5599999963</v>
      </c>
      <c r="F32" s="9">
        <f>ROUND(E32*0.04,2)+0.01</f>
        <v>110703.70999999999</v>
      </c>
      <c r="G32" s="9">
        <f t="shared" ref="G32" si="333">ROUND(E32*0,2)</f>
        <v>0</v>
      </c>
      <c r="H32" s="9">
        <f t="shared" ref="H32" si="334">E32-F32-G32</f>
        <v>2656888.8499999964</v>
      </c>
      <c r="I32" s="9">
        <f t="shared" ref="I32" si="335">ROUND(H32*0,2)</f>
        <v>0</v>
      </c>
      <c r="J32" s="9">
        <f t="shared" ref="J32" si="336">ROUND((I32*0.58)+((I32*0.42)*0.1),2)</f>
        <v>0</v>
      </c>
      <c r="K32" s="9">
        <f t="shared" ref="K32" si="337">ROUND((I32*0.42)*0.9,2)</f>
        <v>0</v>
      </c>
      <c r="L32" s="69">
        <f t="shared" ref="L32" si="338">IF(J32+K32=I32,H32-I32,"ERROR")</f>
        <v>2656888.8499999964</v>
      </c>
      <c r="M32" s="9">
        <f t="shared" ref="M32" si="339">ROUND(L32*0.465,2)</f>
        <v>1235453.32</v>
      </c>
      <c r="N32" s="9">
        <f>ROUND(L32*0.3,2)+0.04</f>
        <v>797066.69000000006</v>
      </c>
      <c r="O32" s="9">
        <f>ROUND(L32*0.1285,2)-0.02</f>
        <v>341410.19999999995</v>
      </c>
      <c r="P32" s="9">
        <f t="shared" ref="P32" si="340">ROUND((L32*0.07)*0.9,2)</f>
        <v>167384</v>
      </c>
      <c r="Q32" s="9">
        <f>ROUND(L32*0.01,2)-0.01</f>
        <v>26568.880000000001</v>
      </c>
      <c r="R32" s="9">
        <f t="shared" si="295"/>
        <v>17934</v>
      </c>
      <c r="S32" s="9">
        <f t="shared" si="296"/>
        <v>17934</v>
      </c>
      <c r="T32" s="9">
        <f>ROUND(L32*0.02,2)-0.02</f>
        <v>53137.760000000002</v>
      </c>
      <c r="U32" s="9">
        <f t="shared" ref="U32" si="341">ROUND(L32*0,2)</f>
        <v>0</v>
      </c>
      <c r="V32" s="42">
        <f t="shared" ref="V32" si="342">E32/W32</f>
        <v>3617.7680522875771</v>
      </c>
      <c r="W32" s="10">
        <v>765</v>
      </c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</row>
    <row r="33" spans="1:96" ht="15.75" customHeight="1" x14ac:dyDescent="0.25">
      <c r="A33" s="8">
        <f>Mountaineer!A33</f>
        <v>44205</v>
      </c>
      <c r="B33" s="9">
        <v>15355791.109999999</v>
      </c>
      <c r="C33" s="9">
        <v>13801224.050000001</v>
      </c>
      <c r="D33" s="9">
        <v>179849.28999999998</v>
      </c>
      <c r="E33" s="9">
        <f t="shared" ref="E33" si="343">B33-C33-D33</f>
        <v>1374717.7699999986</v>
      </c>
      <c r="F33" s="9">
        <f>ROUND(E33*0.04,2)</f>
        <v>54988.71</v>
      </c>
      <c r="G33" s="9">
        <f t="shared" ref="G33" si="344">ROUND(E33*0,2)</f>
        <v>0</v>
      </c>
      <c r="H33" s="9">
        <f t="shared" ref="H33" si="345">E33-F33-G33</f>
        <v>1319729.0599999987</v>
      </c>
      <c r="I33" s="9">
        <f t="shared" ref="I33" si="346">ROUND(H33*0,2)</f>
        <v>0</v>
      </c>
      <c r="J33" s="9">
        <f t="shared" ref="J33" si="347">ROUND((I33*0.58)+((I33*0.42)*0.1),2)</f>
        <v>0</v>
      </c>
      <c r="K33" s="9">
        <f t="shared" ref="K33" si="348">ROUND((I33*0.42)*0.9,2)</f>
        <v>0</v>
      </c>
      <c r="L33" s="69">
        <f t="shared" ref="L33" si="349">IF(J33+K33=I33,H33-I33,"ERROR")</f>
        <v>1319729.0599999987</v>
      </c>
      <c r="M33" s="9">
        <f t="shared" ref="M33" si="350">ROUND(L33*0.465,2)</f>
        <v>613674.01</v>
      </c>
      <c r="N33" s="9">
        <f>ROUND(L33*0.3,2)-0.04</f>
        <v>395918.68</v>
      </c>
      <c r="O33" s="9">
        <f>ROUND(L33*0.1285,2)+0.02</f>
        <v>169585.19999999998</v>
      </c>
      <c r="P33" s="9">
        <f t="shared" ref="P33" si="351">ROUND((L33*0.07)*0.9,2)</f>
        <v>83142.929999999993</v>
      </c>
      <c r="Q33" s="9">
        <f>ROUND(L33*0.01,2)+0.01</f>
        <v>13197.300000000001</v>
      </c>
      <c r="R33" s="9">
        <f t="shared" si="295"/>
        <v>8908.17</v>
      </c>
      <c r="S33" s="9">
        <f t="shared" si="296"/>
        <v>8908.17</v>
      </c>
      <c r="T33" s="9">
        <f>ROUND(L33*0.02,2)+0.02</f>
        <v>26394.600000000002</v>
      </c>
      <c r="U33" s="9">
        <f t="shared" ref="U33" si="352">ROUND(L33*0,2)</f>
        <v>0</v>
      </c>
      <c r="V33" s="42">
        <f t="shared" ref="V33" si="353">E33/W33</f>
        <v>1792.330860495435</v>
      </c>
      <c r="W33" s="10">
        <v>767</v>
      </c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</row>
    <row r="34" spans="1:96" ht="15.75" customHeight="1" x14ac:dyDescent="0.25">
      <c r="A34" s="8">
        <f>Mountaineer!A34</f>
        <v>44212</v>
      </c>
      <c r="B34" s="9">
        <v>14214399.539999999</v>
      </c>
      <c r="C34" s="9">
        <v>12701441.309999999</v>
      </c>
      <c r="D34" s="9">
        <v>216107.99999999997</v>
      </c>
      <c r="E34" s="9">
        <f t="shared" ref="E34" si="354">B34-C34-D34</f>
        <v>1296850.2300000004</v>
      </c>
      <c r="F34" s="9">
        <f>ROUND(E34*0.04,2)+0.01</f>
        <v>51874.020000000004</v>
      </c>
      <c r="G34" s="9">
        <f t="shared" ref="G34" si="355">ROUND(E34*0,2)</f>
        <v>0</v>
      </c>
      <c r="H34" s="9">
        <f t="shared" ref="H34" si="356">E34-F34-G34</f>
        <v>1244976.2100000004</v>
      </c>
      <c r="I34" s="9">
        <f t="shared" ref="I34" si="357">ROUND(H34*0,2)</f>
        <v>0</v>
      </c>
      <c r="J34" s="9">
        <f t="shared" ref="J34" si="358">ROUND((I34*0.58)+((I34*0.42)*0.1),2)</f>
        <v>0</v>
      </c>
      <c r="K34" s="9">
        <f t="shared" ref="K34" si="359">ROUND((I34*0.42)*0.9,2)</f>
        <v>0</v>
      </c>
      <c r="L34" s="69">
        <f t="shared" ref="L34" si="360">IF(J34+K34=I34,H34-I34,"ERROR")</f>
        <v>1244976.2100000004</v>
      </c>
      <c r="M34" s="9">
        <f t="shared" ref="M34" si="361">ROUND(L34*0.465,2)</f>
        <v>578913.93999999994</v>
      </c>
      <c r="N34" s="9">
        <f>ROUND(L34*0.3,2)+0.03</f>
        <v>373492.89</v>
      </c>
      <c r="O34" s="9">
        <f>ROUND(L34*0.1285,2)-0.02</f>
        <v>159979.42000000001</v>
      </c>
      <c r="P34" s="9">
        <f t="shared" ref="P34" si="362">ROUND((L34*0.07)*0.9,2)</f>
        <v>78433.5</v>
      </c>
      <c r="Q34" s="9">
        <f>ROUND(L34*0.01,2)</f>
        <v>12449.76</v>
      </c>
      <c r="R34" s="9">
        <f t="shared" ref="R34" si="363">ROUND((L34*0.0075)*0.9,2)</f>
        <v>8403.59</v>
      </c>
      <c r="S34" s="9">
        <f t="shared" ref="S34" si="364">ROUND((L34*0.0075)*0.9,2)</f>
        <v>8403.59</v>
      </c>
      <c r="T34" s="9">
        <f>ROUND(L34*0.02,2)</f>
        <v>24899.52</v>
      </c>
      <c r="U34" s="9">
        <f t="shared" ref="U34" si="365">ROUND(L34*0,2)</f>
        <v>0</v>
      </c>
      <c r="V34" s="42">
        <f t="shared" ref="V34" si="366">E34/W34</f>
        <v>1677.6846442432088</v>
      </c>
      <c r="W34" s="10">
        <v>773</v>
      </c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</row>
    <row r="35" spans="1:96" ht="15.75" customHeight="1" x14ac:dyDescent="0.25">
      <c r="A35" s="8">
        <f>Mountaineer!A35</f>
        <v>44219</v>
      </c>
      <c r="B35" s="9">
        <v>14697465.130000001</v>
      </c>
      <c r="C35" s="9">
        <v>13261226.92</v>
      </c>
      <c r="D35" s="9">
        <v>176273.08000000002</v>
      </c>
      <c r="E35" s="9">
        <f t="shared" ref="E35" si="367">B35-C35-D35</f>
        <v>1259965.1300000008</v>
      </c>
      <c r="F35" s="9">
        <f>ROUND(E35*0.04,2)+0.01</f>
        <v>50398.62</v>
      </c>
      <c r="G35" s="9">
        <f t="shared" ref="G35" si="368">ROUND(E35*0,2)</f>
        <v>0</v>
      </c>
      <c r="H35" s="9">
        <f t="shared" ref="H35" si="369">E35-F35-G35</f>
        <v>1209566.5100000007</v>
      </c>
      <c r="I35" s="9">
        <f t="shared" ref="I35" si="370">ROUND(H35*0,2)</f>
        <v>0</v>
      </c>
      <c r="J35" s="9">
        <f t="shared" ref="J35" si="371">ROUND((I35*0.58)+((I35*0.42)*0.1),2)</f>
        <v>0</v>
      </c>
      <c r="K35" s="9">
        <f t="shared" ref="K35" si="372">ROUND((I35*0.42)*0.9,2)</f>
        <v>0</v>
      </c>
      <c r="L35" s="69">
        <f t="shared" ref="L35" si="373">IF(J35+K35=I35,H35-I35,"ERROR")</f>
        <v>1209566.5100000007</v>
      </c>
      <c r="M35" s="9">
        <f t="shared" ref="M35" si="374">ROUND(L35*0.465,2)</f>
        <v>562448.43000000005</v>
      </c>
      <c r="N35" s="9">
        <f>ROUND(L35*0.3,2)+0.02</f>
        <v>362869.97000000003</v>
      </c>
      <c r="O35" s="9">
        <f>ROUND(L35*0.1285,2)</f>
        <v>155429.29999999999</v>
      </c>
      <c r="P35" s="9">
        <f t="shared" ref="P35" si="375">ROUND((L35*0.07)*0.9,2)</f>
        <v>76202.69</v>
      </c>
      <c r="Q35" s="9">
        <f>ROUND(L35*0.01,2)-0.01</f>
        <v>12095.66</v>
      </c>
      <c r="R35" s="9">
        <f t="shared" ref="R35" si="376">ROUND((L35*0.0075)*0.9,2)</f>
        <v>8164.57</v>
      </c>
      <c r="S35" s="9">
        <f t="shared" ref="S35" si="377">ROUND((L35*0.0075)*0.9,2)</f>
        <v>8164.57</v>
      </c>
      <c r="T35" s="9">
        <f>ROUND(L35*0.02,2)-0.01</f>
        <v>24191.320000000003</v>
      </c>
      <c r="U35" s="9">
        <f t="shared" ref="U35" si="378">ROUND(L35*0,2)</f>
        <v>0</v>
      </c>
      <c r="V35" s="42">
        <f t="shared" ref="V35" si="379">E35/W35</f>
        <v>1644.8630939947791</v>
      </c>
      <c r="W35" s="10">
        <v>766</v>
      </c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</row>
    <row r="36" spans="1:96" ht="15.75" customHeight="1" x14ac:dyDescent="0.25">
      <c r="A36" s="8">
        <f>Mountaineer!A36</f>
        <v>44226</v>
      </c>
      <c r="B36" s="9">
        <v>13924315.160000002</v>
      </c>
      <c r="C36" s="9">
        <v>12520783.210000001</v>
      </c>
      <c r="D36" s="9">
        <v>170965.15</v>
      </c>
      <c r="E36" s="9">
        <f t="shared" ref="E36" si="380">B36-C36-D36</f>
        <v>1232566.8000000012</v>
      </c>
      <c r="F36" s="9">
        <f>ROUND(E36*0.04,2)</f>
        <v>49302.67</v>
      </c>
      <c r="G36" s="9">
        <f t="shared" ref="G36" si="381">ROUND(E36*0,2)</f>
        <v>0</v>
      </c>
      <c r="H36" s="9">
        <f t="shared" ref="H36" si="382">E36-F36-G36</f>
        <v>1183264.1300000013</v>
      </c>
      <c r="I36" s="9">
        <f t="shared" ref="I36" si="383">ROUND(H36*0,2)</f>
        <v>0</v>
      </c>
      <c r="J36" s="9">
        <f t="shared" ref="J36" si="384">ROUND((I36*0.58)+((I36*0.42)*0.1),2)</f>
        <v>0</v>
      </c>
      <c r="K36" s="9">
        <f t="shared" ref="K36" si="385">ROUND((I36*0.42)*0.9,2)</f>
        <v>0</v>
      </c>
      <c r="L36" s="69">
        <f t="shared" ref="L36" si="386">IF(J36+K36=I36,H36-I36,"ERROR")</f>
        <v>1183264.1300000013</v>
      </c>
      <c r="M36" s="9">
        <f t="shared" ref="M36" si="387">ROUND(L36*0.465,2)</f>
        <v>550217.81999999995</v>
      </c>
      <c r="N36" s="9">
        <f>ROUND(L36*0.3,2)+0.01</f>
        <v>354979.25</v>
      </c>
      <c r="O36" s="9">
        <f>ROUND(L36*0.1285,2)</f>
        <v>152049.44</v>
      </c>
      <c r="P36" s="9">
        <f t="shared" ref="P36" si="388">ROUND((L36*0.07)*0.9,2)</f>
        <v>74545.64</v>
      </c>
      <c r="Q36" s="9">
        <f>ROUND(L36*0.01,2)</f>
        <v>11832.64</v>
      </c>
      <c r="R36" s="9">
        <f t="shared" ref="R36" si="389">ROUND((L36*0.0075)*0.9,2)</f>
        <v>7987.03</v>
      </c>
      <c r="S36" s="9">
        <f t="shared" ref="S36" si="390">ROUND((L36*0.0075)*0.9,2)</f>
        <v>7987.03</v>
      </c>
      <c r="T36" s="9">
        <f>ROUND(L36*0.02,2)</f>
        <v>23665.279999999999</v>
      </c>
      <c r="U36" s="9">
        <f t="shared" ref="U36" si="391">ROUND(L36*0,2)</f>
        <v>0</v>
      </c>
      <c r="V36" s="42">
        <f t="shared" ref="V36" si="392">E36/W36</f>
        <v>1645.6165554072113</v>
      </c>
      <c r="W36" s="10">
        <v>749</v>
      </c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</row>
    <row r="37" spans="1:96" ht="15.75" customHeight="1" x14ac:dyDescent="0.25">
      <c r="A37" s="8">
        <f>Mountaineer!A37</f>
        <v>44233</v>
      </c>
      <c r="B37" s="9">
        <v>13803509.390000001</v>
      </c>
      <c r="C37" s="9">
        <v>12453611.91</v>
      </c>
      <c r="D37" s="9">
        <v>206398.48</v>
      </c>
      <c r="E37" s="9">
        <f t="shared" ref="E37" si="393">B37-C37-D37</f>
        <v>1143499.0000000005</v>
      </c>
      <c r="F37" s="9">
        <f>ROUND(E37*0.04,2)+0.01</f>
        <v>45739.97</v>
      </c>
      <c r="G37" s="9">
        <f t="shared" ref="G37" si="394">ROUND(E37*0,2)</f>
        <v>0</v>
      </c>
      <c r="H37" s="9">
        <f t="shared" ref="H37" si="395">E37-F37-G37</f>
        <v>1097759.0300000005</v>
      </c>
      <c r="I37" s="9">
        <f t="shared" ref="I37" si="396">ROUND(H37*0,2)</f>
        <v>0</v>
      </c>
      <c r="J37" s="9">
        <f t="shared" ref="J37" si="397">ROUND((I37*0.58)+((I37*0.42)*0.1),2)</f>
        <v>0</v>
      </c>
      <c r="K37" s="9">
        <f t="shared" ref="K37" si="398">ROUND((I37*0.42)*0.9,2)</f>
        <v>0</v>
      </c>
      <c r="L37" s="69">
        <f t="shared" ref="L37" si="399">IF(J37+K37=I37,H37-I37,"ERROR")</f>
        <v>1097759.0300000005</v>
      </c>
      <c r="M37" s="9">
        <f t="shared" ref="M37" si="400">ROUND(L37*0.465,2)</f>
        <v>510457.95</v>
      </c>
      <c r="N37" s="9">
        <f>ROUND(L37*0.3,2)-0.05</f>
        <v>329327.66000000003</v>
      </c>
      <c r="O37" s="9">
        <f>ROUND(L37*0.1285,2)+0.02</f>
        <v>141062.06</v>
      </c>
      <c r="P37" s="9">
        <f t="shared" ref="P37" si="401">ROUND((L37*0.07)*0.9,2)</f>
        <v>69158.820000000007</v>
      </c>
      <c r="Q37" s="9">
        <f>ROUND(L37*0.01,2)+0.01</f>
        <v>10977.6</v>
      </c>
      <c r="R37" s="9">
        <f t="shared" ref="R37" si="402">ROUND((L37*0.0075)*0.9,2)</f>
        <v>7409.87</v>
      </c>
      <c r="S37" s="9">
        <f t="shared" ref="S37" si="403">ROUND((L37*0.0075)*0.9,2)</f>
        <v>7409.87</v>
      </c>
      <c r="T37" s="9">
        <f>ROUND(L37*0.02,2)+0.02</f>
        <v>21955.200000000001</v>
      </c>
      <c r="U37" s="9">
        <f t="shared" ref="U37" si="404">ROUND(L37*0,2)</f>
        <v>0</v>
      </c>
      <c r="V37" s="42">
        <f t="shared" ref="V37" si="405">E37/W37</f>
        <v>1676.6847507331386</v>
      </c>
      <c r="W37" s="10">
        <v>682</v>
      </c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</row>
    <row r="38" spans="1:96" ht="15.75" customHeight="1" x14ac:dyDescent="0.25">
      <c r="A38" s="8">
        <f>Mountaineer!A38</f>
        <v>44240</v>
      </c>
      <c r="B38" s="9">
        <v>12194933.130000001</v>
      </c>
      <c r="C38" s="9">
        <v>10907991.1</v>
      </c>
      <c r="D38" s="9">
        <v>88541.31</v>
      </c>
      <c r="E38" s="9">
        <f t="shared" ref="E38" si="406">B38-C38-D38</f>
        <v>1198400.7200000011</v>
      </c>
      <c r="F38" s="9">
        <f>ROUND(E38*0.04,2)</f>
        <v>47936.03</v>
      </c>
      <c r="G38" s="9">
        <f t="shared" ref="G38" si="407">ROUND(E38*0,2)</f>
        <v>0</v>
      </c>
      <c r="H38" s="9">
        <f t="shared" ref="H38" si="408">E38-F38-G38</f>
        <v>1150464.6900000011</v>
      </c>
      <c r="I38" s="9">
        <f t="shared" ref="I38" si="409">ROUND(H38*0,2)</f>
        <v>0</v>
      </c>
      <c r="J38" s="9">
        <f t="shared" ref="J38" si="410">ROUND((I38*0.58)+((I38*0.42)*0.1),2)</f>
        <v>0</v>
      </c>
      <c r="K38" s="9">
        <f t="shared" ref="K38" si="411">ROUND((I38*0.42)*0.9,2)</f>
        <v>0</v>
      </c>
      <c r="L38" s="69">
        <f t="shared" ref="L38" si="412">IF(J38+K38=I38,H38-I38,"ERROR")</f>
        <v>1150464.6900000011</v>
      </c>
      <c r="M38" s="9">
        <f t="shared" ref="M38" si="413">ROUND(L38*0.465,2)</f>
        <v>534966.07999999996</v>
      </c>
      <c r="N38" s="9">
        <f>ROUND(L38*0.3,2)+0.03</f>
        <v>345139.44</v>
      </c>
      <c r="O38" s="9">
        <f>ROUND(L38*0.1285,2)-0.02</f>
        <v>147834.69</v>
      </c>
      <c r="P38" s="9">
        <f t="shared" ref="P38" si="414">ROUND((L38*0.07)*0.9,2)</f>
        <v>72479.28</v>
      </c>
      <c r="Q38" s="9">
        <f>ROUND(L38*0.01,2)-0.01</f>
        <v>11504.64</v>
      </c>
      <c r="R38" s="9">
        <f t="shared" ref="R38" si="415">ROUND((L38*0.0075)*0.9,2)</f>
        <v>7765.64</v>
      </c>
      <c r="S38" s="9">
        <f t="shared" ref="S38" si="416">ROUND((L38*0.0075)*0.9,2)</f>
        <v>7765.64</v>
      </c>
      <c r="T38" s="9">
        <v>14366.72</v>
      </c>
      <c r="U38" s="9">
        <v>8642.56</v>
      </c>
      <c r="V38" s="42">
        <f t="shared" ref="V38" si="417">E38/W38</f>
        <v>1838.0379141104313</v>
      </c>
      <c r="W38" s="10">
        <v>652</v>
      </c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</row>
    <row r="39" spans="1:96" ht="15.75" customHeight="1" x14ac:dyDescent="0.25">
      <c r="A39" s="8">
        <f>Mountaineer!A39</f>
        <v>44247</v>
      </c>
      <c r="B39" s="9">
        <v>13104700.82</v>
      </c>
      <c r="C39" s="9">
        <v>11738492.780000001</v>
      </c>
      <c r="D39" s="9">
        <v>136718.65</v>
      </c>
      <c r="E39" s="9">
        <f t="shared" ref="E39" si="418">B39-C39-D39</f>
        <v>1229489.3899999992</v>
      </c>
      <c r="F39" s="9">
        <f>ROUND(E39*0.04,2)</f>
        <v>49179.58</v>
      </c>
      <c r="G39" s="9">
        <f t="shared" ref="G39" si="419">ROUND(E39*0,2)</f>
        <v>0</v>
      </c>
      <c r="H39" s="9">
        <f t="shared" ref="H39" si="420">E39-F39-G39</f>
        <v>1180309.8099999991</v>
      </c>
      <c r="I39" s="9">
        <f t="shared" ref="I39" si="421">ROUND(H39*0,2)</f>
        <v>0</v>
      </c>
      <c r="J39" s="9">
        <f t="shared" ref="J39" si="422">ROUND((I39*0.58)+((I39*0.42)*0.1),2)</f>
        <v>0</v>
      </c>
      <c r="K39" s="9">
        <f t="shared" ref="K39" si="423">ROUND((I39*0.42)*0.9,2)</f>
        <v>0</v>
      </c>
      <c r="L39" s="69">
        <f t="shared" ref="L39" si="424">IF(J39+K39=I39,H39-I39,"ERROR")</f>
        <v>1180309.8099999991</v>
      </c>
      <c r="M39" s="9">
        <f t="shared" ref="M39" si="425">ROUND(L39*0.465,2)</f>
        <v>548844.06000000006</v>
      </c>
      <c r="N39" s="9">
        <f>ROUND(L39*0.3,2)</f>
        <v>354092.94</v>
      </c>
      <c r="O39" s="9">
        <f>ROUND(L39*0.1285,2)</f>
        <v>151669.81</v>
      </c>
      <c r="P39" s="9">
        <f t="shared" ref="P39" si="426">ROUND((L39*0.07)*0.9,2)</f>
        <v>74359.520000000004</v>
      </c>
      <c r="Q39" s="9">
        <f>ROUND(L39*0.01,2)</f>
        <v>11803.1</v>
      </c>
      <c r="R39" s="9">
        <f t="shared" ref="R39" si="427">ROUND((L39*0.0075)*0.9,2)</f>
        <v>7967.09</v>
      </c>
      <c r="S39" s="9">
        <f t="shared" ref="S39" si="428">ROUND((L39*0.0075)*0.9,2)</f>
        <v>7967.09</v>
      </c>
      <c r="T39" s="9">
        <f>ROUND(L39*0.02,2)/2</f>
        <v>11803.1</v>
      </c>
      <c r="U39" s="9">
        <f>ROUND(L39*0.02,2)/2</f>
        <v>11803.1</v>
      </c>
      <c r="V39" s="42">
        <f t="shared" ref="V39" si="429">E39/W39</f>
        <v>1818.7712869822474</v>
      </c>
      <c r="W39" s="10">
        <v>676</v>
      </c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</row>
    <row r="40" spans="1:96" ht="15.75" customHeight="1" x14ac:dyDescent="0.25">
      <c r="A40" s="8">
        <f>Mountaineer!A40</f>
        <v>44254</v>
      </c>
      <c r="B40" s="9">
        <v>16672053.100000001</v>
      </c>
      <c r="C40" s="9">
        <v>14958369.549999999</v>
      </c>
      <c r="D40" s="9">
        <v>162513</v>
      </c>
      <c r="E40" s="9">
        <f t="shared" ref="E40" si="430">B40-C40-D40</f>
        <v>1551170.5500000026</v>
      </c>
      <c r="F40" s="9">
        <f>ROUND(E40*0.04,2)</f>
        <v>62046.82</v>
      </c>
      <c r="G40" s="9">
        <f t="shared" ref="G40" si="431">ROUND(E40*0,2)</f>
        <v>0</v>
      </c>
      <c r="H40" s="9">
        <f t="shared" ref="H40" si="432">E40-F40-G40</f>
        <v>1489123.7300000025</v>
      </c>
      <c r="I40" s="9">
        <f t="shared" ref="I40" si="433">ROUND(H40*0,2)</f>
        <v>0</v>
      </c>
      <c r="J40" s="9">
        <f t="shared" ref="J40" si="434">ROUND((I40*0.58)+((I40*0.42)*0.1),2)</f>
        <v>0</v>
      </c>
      <c r="K40" s="9">
        <f t="shared" ref="K40" si="435">ROUND((I40*0.42)*0.9,2)</f>
        <v>0</v>
      </c>
      <c r="L40" s="69">
        <f t="shared" ref="L40" si="436">IF(J40+K40=I40,H40-I40,"ERROR")</f>
        <v>1489123.7300000025</v>
      </c>
      <c r="M40" s="9">
        <f t="shared" ref="M40" si="437">ROUND(L40*0.465,2)</f>
        <v>692442.53</v>
      </c>
      <c r="N40" s="9">
        <f>ROUND(L40*0.3,2)-0.01</f>
        <v>446737.11</v>
      </c>
      <c r="O40" s="9">
        <f>ROUND(L40*0.1285,2)</f>
        <v>191352.4</v>
      </c>
      <c r="P40" s="9">
        <f t="shared" ref="P40" si="438">ROUND((L40*0.07)*0.9,2)</f>
        <v>93814.79</v>
      </c>
      <c r="Q40" s="9">
        <f>ROUND(L40*0.01,2)</f>
        <v>14891.24</v>
      </c>
      <c r="R40" s="9">
        <f t="shared" ref="R40" si="439">ROUND((L40*0.0075)*0.9,2)</f>
        <v>10051.59</v>
      </c>
      <c r="S40" s="9">
        <f t="shared" ref="S40" si="440">ROUND((L40*0.0075)*0.9,2)</f>
        <v>10051.59</v>
      </c>
      <c r="T40" s="9">
        <f>ROUND(L40*0.02,2)/2</f>
        <v>14891.235000000001</v>
      </c>
      <c r="U40" s="9">
        <f>ROUND(L40*0.02,2)/2</f>
        <v>14891.235000000001</v>
      </c>
      <c r="V40" s="42">
        <f t="shared" ref="V40" si="441">E40/W40</f>
        <v>2133.6596286107324</v>
      </c>
      <c r="W40" s="10">
        <v>727</v>
      </c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</row>
    <row r="41" spans="1:96" ht="15.75" customHeight="1" x14ac:dyDescent="0.25">
      <c r="A41" s="8">
        <f>Mountaineer!A41</f>
        <v>44261</v>
      </c>
      <c r="B41" s="9">
        <v>17477336.809999999</v>
      </c>
      <c r="C41" s="9">
        <v>15667372.17</v>
      </c>
      <c r="D41" s="9">
        <v>210837</v>
      </c>
      <c r="E41" s="9">
        <f t="shared" ref="E41" si="442">B41-C41-D41</f>
        <v>1599127.6399999987</v>
      </c>
      <c r="F41" s="9">
        <f>ROUND(E41*0.04,2)-0.01</f>
        <v>63965.1</v>
      </c>
      <c r="G41" s="9">
        <f t="shared" ref="G41" si="443">ROUND(E41*0,2)</f>
        <v>0</v>
      </c>
      <c r="H41" s="9">
        <f t="shared" ref="H41" si="444">E41-F41-G41</f>
        <v>1535162.5399999986</v>
      </c>
      <c r="I41" s="9">
        <f t="shared" ref="I41" si="445">ROUND(H41*0,2)</f>
        <v>0</v>
      </c>
      <c r="J41" s="9">
        <f t="shared" ref="J41" si="446">ROUND((I41*0.58)+((I41*0.42)*0.1),2)</f>
        <v>0</v>
      </c>
      <c r="K41" s="9">
        <f t="shared" ref="K41" si="447">ROUND((I41*0.42)*0.9,2)</f>
        <v>0</v>
      </c>
      <c r="L41" s="69">
        <f t="shared" ref="L41" si="448">IF(J41+K41=I41,H41-I41,"ERROR")</f>
        <v>1535162.5399999986</v>
      </c>
      <c r="M41" s="9">
        <f t="shared" ref="M41" si="449">ROUND(L41*0.465,2)</f>
        <v>713850.58</v>
      </c>
      <c r="N41" s="9">
        <f>ROUND(L41*0.3,2)+0.03</f>
        <v>460548.79000000004</v>
      </c>
      <c r="O41" s="9">
        <f>ROUND(L41*0.1285,2)-0.02</f>
        <v>197268.37000000002</v>
      </c>
      <c r="P41" s="9">
        <f t="shared" ref="P41" si="450">ROUND((L41*0.07)*0.9,2)</f>
        <v>96715.24</v>
      </c>
      <c r="Q41" s="9">
        <f>ROUND(L41*0.01,2)-0.01</f>
        <v>15351.619999999999</v>
      </c>
      <c r="R41" s="9">
        <f t="shared" ref="R41" si="451">ROUND((L41*0.0075)*0.9,2)</f>
        <v>10362.35</v>
      </c>
      <c r="S41" s="9">
        <f t="shared" ref="S41" si="452">ROUND((L41*0.0075)*0.9,2)</f>
        <v>10362.35</v>
      </c>
      <c r="T41" s="9">
        <f>ROUND(L41*0.02,2)/2-0.005</f>
        <v>15351.62</v>
      </c>
      <c r="U41" s="9">
        <f>ROUND(L41*0.02,2)/2-0.005</f>
        <v>15351.62</v>
      </c>
      <c r="V41" s="42">
        <f t="shared" ref="V41" si="453">E41/W41</f>
        <v>2178.6480108991809</v>
      </c>
      <c r="W41" s="10">
        <v>734</v>
      </c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</row>
    <row r="42" spans="1:96" ht="15.75" customHeight="1" x14ac:dyDescent="0.25">
      <c r="A42" s="8">
        <f>Mountaineer!A42</f>
        <v>44268</v>
      </c>
      <c r="B42" s="9">
        <v>16739448.210000001</v>
      </c>
      <c r="C42" s="9">
        <v>14983562.300000001</v>
      </c>
      <c r="D42" s="9">
        <v>210122</v>
      </c>
      <c r="E42" s="9">
        <f t="shared" ref="E42" si="454">B42-C42-D42</f>
        <v>1545763.9100000001</v>
      </c>
      <c r="F42" s="9">
        <f>ROUND(E42*0.04,2)-0.01</f>
        <v>61830.549999999996</v>
      </c>
      <c r="G42" s="9">
        <f t="shared" ref="G42" si="455">ROUND(E42*0,2)</f>
        <v>0</v>
      </c>
      <c r="H42" s="9">
        <f t="shared" ref="H42" si="456">E42-F42-G42</f>
        <v>1483933.36</v>
      </c>
      <c r="I42" s="9">
        <f t="shared" ref="I42" si="457">ROUND(H42*0,2)</f>
        <v>0</v>
      </c>
      <c r="J42" s="9">
        <f t="shared" ref="J42" si="458">ROUND((I42*0.58)+((I42*0.42)*0.1),2)</f>
        <v>0</v>
      </c>
      <c r="K42" s="9">
        <f t="shared" ref="K42" si="459">ROUND((I42*0.42)*0.9,2)</f>
        <v>0</v>
      </c>
      <c r="L42" s="69">
        <f t="shared" ref="L42" si="460">IF(J42+K42=I42,H42-I42,"ERROR")</f>
        <v>1483933.36</v>
      </c>
      <c r="M42" s="9">
        <f t="shared" ref="M42" si="461">ROUND(L42*0.465,2)</f>
        <v>690029.01</v>
      </c>
      <c r="N42" s="9">
        <f>ROUND(L42*0.3,2)-0.04</f>
        <v>445179.97000000003</v>
      </c>
      <c r="O42" s="9">
        <f>ROUND(L42*0.1285,2)+0.02</f>
        <v>190685.46</v>
      </c>
      <c r="P42" s="9">
        <f t="shared" ref="P42" si="462">ROUND((L42*0.07)*0.9,2)</f>
        <v>93487.8</v>
      </c>
      <c r="Q42" s="9">
        <f>ROUND(L42*0.01,2)+0.01</f>
        <v>14839.34</v>
      </c>
      <c r="R42" s="9">
        <f t="shared" ref="R42" si="463">ROUND((L42*0.0075)*0.9,2)</f>
        <v>10016.549999999999</v>
      </c>
      <c r="S42" s="9">
        <f t="shared" ref="S42" si="464">ROUND((L42*0.0075)*0.9,2)</f>
        <v>10016.549999999999</v>
      </c>
      <c r="T42" s="9">
        <f>ROUND(L42*0.02,2)/2+0.005</f>
        <v>14839.339999999998</v>
      </c>
      <c r="U42" s="9">
        <f>ROUND(L42*0.02,2)/2+0.005</f>
        <v>14839.339999999998</v>
      </c>
      <c r="V42" s="42">
        <f t="shared" ref="V42" si="465">E42/W42</f>
        <v>2044.6612566137569</v>
      </c>
      <c r="W42" s="10">
        <v>756</v>
      </c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</row>
    <row r="43" spans="1:96" ht="15.75" customHeight="1" x14ac:dyDescent="0.25">
      <c r="A43" s="8">
        <f>Mountaineer!A43</f>
        <v>44275</v>
      </c>
      <c r="B43" s="9">
        <v>20197662.890000001</v>
      </c>
      <c r="C43" s="9">
        <v>18080827.960000001</v>
      </c>
      <c r="D43" s="9">
        <v>200941.43</v>
      </c>
      <c r="E43" s="9">
        <f t="shared" ref="E43" si="466">B43-C43-D43</f>
        <v>1915893.4999999998</v>
      </c>
      <c r="F43" s="9">
        <f>ROUND(E43*0.04,2)-0.01</f>
        <v>76635.73000000001</v>
      </c>
      <c r="G43" s="9">
        <f t="shared" ref="G43" si="467">ROUND(E43*0,2)</f>
        <v>0</v>
      </c>
      <c r="H43" s="9">
        <f t="shared" ref="H43" si="468">E43-F43-G43</f>
        <v>1839257.7699999998</v>
      </c>
      <c r="I43" s="9">
        <f t="shared" ref="I43" si="469">ROUND(H43*0,2)</f>
        <v>0</v>
      </c>
      <c r="J43" s="9">
        <f t="shared" ref="J43" si="470">ROUND((I43*0.58)+((I43*0.42)*0.1),2)</f>
        <v>0</v>
      </c>
      <c r="K43" s="9">
        <f t="shared" ref="K43" si="471">ROUND((I43*0.42)*0.9,2)</f>
        <v>0</v>
      </c>
      <c r="L43" s="69">
        <f t="shared" ref="L43" si="472">IF(J43+K43=I43,H43-I43,"ERROR")</f>
        <v>1839257.7699999998</v>
      </c>
      <c r="M43" s="9">
        <f t="shared" ref="M43" si="473">ROUND(L43*0.465,2)</f>
        <v>855254.86</v>
      </c>
      <c r="N43" s="9">
        <f>ROUND(L43*0.3,2)</f>
        <v>551777.32999999996</v>
      </c>
      <c r="O43" s="9">
        <f>ROUND(L43*0.1285,2)</f>
        <v>236344.62</v>
      </c>
      <c r="P43" s="9">
        <f t="shared" ref="P43" si="474">ROUND((L43*0.07)*0.9,2)</f>
        <v>115873.24</v>
      </c>
      <c r="Q43" s="9">
        <f>ROUND(L43*0.01,2)</f>
        <v>18392.580000000002</v>
      </c>
      <c r="R43" s="9">
        <f t="shared" ref="R43" si="475">ROUND((L43*0.0075)*0.9,2)</f>
        <v>12414.99</v>
      </c>
      <c r="S43" s="9">
        <f t="shared" ref="S43" si="476">ROUND((L43*0.0075)*0.9,2)</f>
        <v>12414.99</v>
      </c>
      <c r="T43" s="9">
        <f>ROUND(L43*0.02,2)/2</f>
        <v>18392.580000000002</v>
      </c>
      <c r="U43" s="9">
        <f>ROUND(L43*0.02,2)/2</f>
        <v>18392.580000000002</v>
      </c>
      <c r="V43" s="42">
        <f t="shared" ref="V43" si="477">E43/W43</f>
        <v>2497.9054758800517</v>
      </c>
      <c r="W43" s="10">
        <v>767</v>
      </c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</row>
    <row r="44" spans="1:96" ht="15.75" customHeight="1" x14ac:dyDescent="0.25">
      <c r="A44" s="8">
        <f>Mountaineer!A44</f>
        <v>44282</v>
      </c>
      <c r="B44" s="9">
        <v>18092783.280000001</v>
      </c>
      <c r="C44" s="9">
        <v>16212194.810000001</v>
      </c>
      <c r="D44" s="9">
        <v>201589.91999999998</v>
      </c>
      <c r="E44" s="9">
        <f t="shared" ref="E44" si="478">B44-C44-D44</f>
        <v>1678998.5500000007</v>
      </c>
      <c r="F44" s="9">
        <f>ROUND(E44*0.04,2)</f>
        <v>67159.94</v>
      </c>
      <c r="G44" s="9">
        <f t="shared" ref="G44" si="479">ROUND(E44*0,2)</f>
        <v>0</v>
      </c>
      <c r="H44" s="9">
        <f t="shared" ref="H44" si="480">E44-F44-G44</f>
        <v>1611838.6100000008</v>
      </c>
      <c r="I44" s="9">
        <f t="shared" ref="I44" si="481">ROUND(H44*0,2)</f>
        <v>0</v>
      </c>
      <c r="J44" s="9">
        <f t="shared" ref="J44" si="482">ROUND((I44*0.58)+((I44*0.42)*0.1),2)</f>
        <v>0</v>
      </c>
      <c r="K44" s="9">
        <f t="shared" ref="K44" si="483">ROUND((I44*0.42)*0.9,2)</f>
        <v>0</v>
      </c>
      <c r="L44" s="69">
        <f t="shared" ref="L44" si="484">IF(J44+K44=I44,H44-I44,"ERROR")</f>
        <v>1611838.6100000008</v>
      </c>
      <c r="M44" s="9">
        <f t="shared" ref="M44" si="485">ROUND(L44*0.465,2)</f>
        <v>749504.95</v>
      </c>
      <c r="N44" s="9">
        <f>ROUND(L44*0.3,2)+0.05</f>
        <v>483551.63</v>
      </c>
      <c r="O44" s="9">
        <f>ROUND(L44*0.1285,2)-0.02</f>
        <v>207121.24000000002</v>
      </c>
      <c r="P44" s="9">
        <f t="shared" ref="P44" si="486">ROUND((L44*0.07)*0.9,2)</f>
        <v>101545.83</v>
      </c>
      <c r="Q44" s="9">
        <f>ROUND(L44*0.01,2)-0.01</f>
        <v>16118.38</v>
      </c>
      <c r="R44" s="9">
        <f t="shared" ref="R44" si="487">ROUND((L44*0.0075)*0.9,2)</f>
        <v>10879.91</v>
      </c>
      <c r="S44" s="9">
        <f t="shared" ref="S44" si="488">ROUND((L44*0.0075)*0.9,2)</f>
        <v>10879.91</v>
      </c>
      <c r="T44" s="9">
        <f>ROUND(L44*0.02,2)/2-0.005</f>
        <v>16118.380000000001</v>
      </c>
      <c r="U44" s="9">
        <f>ROUND(L44*0.02,2)/2-0.005</f>
        <v>16118.380000000001</v>
      </c>
      <c r="V44" s="42">
        <f t="shared" ref="V44" si="489">E44/W44</f>
        <v>2155.3254813863937</v>
      </c>
      <c r="W44" s="10">
        <v>779</v>
      </c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</row>
    <row r="45" spans="1:96" ht="15.75" customHeight="1" x14ac:dyDescent="0.25">
      <c r="A45" s="8">
        <f>Mountaineer!A45</f>
        <v>44289</v>
      </c>
      <c r="B45" s="9">
        <v>17731668.07</v>
      </c>
      <c r="C45" s="9">
        <v>15943436.690000001</v>
      </c>
      <c r="D45" s="9">
        <v>175609</v>
      </c>
      <c r="E45" s="9">
        <f t="shared" ref="E45" si="490">B45-C45-D45</f>
        <v>1612622.379999999</v>
      </c>
      <c r="F45" s="9">
        <f>ROUND(E45*0.04,2)-0.01</f>
        <v>64504.89</v>
      </c>
      <c r="G45" s="9">
        <f t="shared" ref="G45" si="491">ROUND(E45*0,2)</f>
        <v>0</v>
      </c>
      <c r="H45" s="9">
        <f t="shared" ref="H45" si="492">E45-F45-G45</f>
        <v>1548117.4899999991</v>
      </c>
      <c r="I45" s="9">
        <f t="shared" ref="I45" si="493">ROUND(H45*0,2)</f>
        <v>0</v>
      </c>
      <c r="J45" s="9">
        <f t="shared" ref="J45" si="494">ROUND((I45*0.58)+((I45*0.42)*0.1),2)</f>
        <v>0</v>
      </c>
      <c r="K45" s="9">
        <f t="shared" ref="K45" si="495">ROUND((I45*0.42)*0.9,2)</f>
        <v>0</v>
      </c>
      <c r="L45" s="69">
        <f t="shared" ref="L45" si="496">IF(J45+K45=I45,H45-I45,"ERROR")</f>
        <v>1548117.4899999991</v>
      </c>
      <c r="M45" s="9">
        <f t="shared" ref="M45" si="497">ROUND(L45*0.465,2)</f>
        <v>719874.63</v>
      </c>
      <c r="N45" s="9">
        <f>ROUND(L45*0.3,2)-0.02</f>
        <v>464435.23</v>
      </c>
      <c r="O45" s="9">
        <f>ROUND(L45*0.1285,2)+0.01</f>
        <v>198933.11000000002</v>
      </c>
      <c r="P45" s="9">
        <f t="shared" ref="P45" si="498">ROUND((L45*0.07)*0.9,2)</f>
        <v>97531.4</v>
      </c>
      <c r="Q45" s="9">
        <f>ROUND(L45*0.01,2)+0.01</f>
        <v>15481.18</v>
      </c>
      <c r="R45" s="9">
        <f t="shared" ref="R45" si="499">ROUND((L45*0.0075)*0.9,2)</f>
        <v>10449.790000000001</v>
      </c>
      <c r="S45" s="9">
        <f t="shared" ref="S45" si="500">ROUND((L45*0.0075)*0.9,2)</f>
        <v>10449.790000000001</v>
      </c>
      <c r="T45" s="9">
        <f>ROUND(L45*0.02,2)/2+0.005</f>
        <v>15481.179999999998</v>
      </c>
      <c r="U45" s="9">
        <f>ROUND(L45*0.02,2)/2+0.005</f>
        <v>15481.179999999998</v>
      </c>
      <c r="V45" s="42">
        <f t="shared" ref="V45" si="501">E45/W45</f>
        <v>2051.6824173027976</v>
      </c>
      <c r="W45" s="10">
        <v>786</v>
      </c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</row>
    <row r="46" spans="1:96" ht="15.75" customHeight="1" x14ac:dyDescent="0.25">
      <c r="A46" s="8">
        <f>Mountaineer!A46</f>
        <v>44296</v>
      </c>
      <c r="B46" s="9">
        <v>17096949.779999997</v>
      </c>
      <c r="C46" s="9">
        <v>15501917.5</v>
      </c>
      <c r="D46" s="9">
        <v>185914</v>
      </c>
      <c r="E46" s="9">
        <f t="shared" ref="E46" si="502">B46-C46-D46</f>
        <v>1409118.2799999975</v>
      </c>
      <c r="F46" s="9">
        <f>ROUND(E46*0.04,2)</f>
        <v>56364.73</v>
      </c>
      <c r="G46" s="9">
        <f t="shared" ref="G46" si="503">ROUND(E46*0,2)</f>
        <v>0</v>
      </c>
      <c r="H46" s="9">
        <f t="shared" ref="H46" si="504">E46-F46-G46</f>
        <v>1352753.5499999975</v>
      </c>
      <c r="I46" s="9">
        <f t="shared" ref="I46" si="505">ROUND(H46*0,2)</f>
        <v>0</v>
      </c>
      <c r="J46" s="9">
        <f t="shared" ref="J46" si="506">ROUND((I46*0.58)+((I46*0.42)*0.1),2)</f>
        <v>0</v>
      </c>
      <c r="K46" s="9">
        <f t="shared" ref="K46" si="507">ROUND((I46*0.42)*0.9,2)</f>
        <v>0</v>
      </c>
      <c r="L46" s="69">
        <f t="shared" ref="L46" si="508">IF(J46+K46=I46,H46-I46,"ERROR")</f>
        <v>1352753.5499999975</v>
      </c>
      <c r="M46" s="9">
        <f t="shared" ref="M46" si="509">ROUND(L46*0.465,2)</f>
        <v>629030.40000000002</v>
      </c>
      <c r="N46" s="9">
        <f>ROUND(L46*0.3,2)-0.02</f>
        <v>405826.04</v>
      </c>
      <c r="O46" s="9">
        <f>ROUND(L46*0.1285,2)+0.01</f>
        <v>173828.84</v>
      </c>
      <c r="P46" s="9">
        <f t="shared" ref="P46" si="510">ROUND((L46*0.07)*0.9,2)</f>
        <v>85223.47</v>
      </c>
      <c r="Q46" s="9">
        <f>ROUND(L46*0.01,2)</f>
        <v>13527.54</v>
      </c>
      <c r="R46" s="9">
        <f t="shared" ref="R46" si="511">ROUND((L46*0.0075)*0.9,2)</f>
        <v>9131.09</v>
      </c>
      <c r="S46" s="9">
        <f t="shared" ref="S46" si="512">ROUND((L46*0.0075)*0.9,2)</f>
        <v>9131.09</v>
      </c>
      <c r="T46" s="9">
        <f>ROUND(L46*0.02,2)/2+0.005</f>
        <v>13527.539999999999</v>
      </c>
      <c r="U46" s="9">
        <f>ROUND(L46*0.02,2)/2+0.005</f>
        <v>13527.539999999999</v>
      </c>
      <c r="V46" s="42">
        <f t="shared" ref="V46" si="513">E46/W46</f>
        <v>1776.9461286254698</v>
      </c>
      <c r="W46" s="10">
        <v>793</v>
      </c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</row>
    <row r="47" spans="1:96" ht="15.75" customHeight="1" x14ac:dyDescent="0.25">
      <c r="A47" s="8">
        <f>Mountaineer!A47</f>
        <v>44303</v>
      </c>
      <c r="B47" s="9">
        <v>18407673.219999999</v>
      </c>
      <c r="C47" s="9">
        <v>16407214.520000001</v>
      </c>
      <c r="D47" s="9">
        <v>223353</v>
      </c>
      <c r="E47" s="9">
        <f t="shared" ref="E47" si="514">B47-C47-D47</f>
        <v>1777105.6999999974</v>
      </c>
      <c r="F47" s="9">
        <f>ROUND(E47*0.04,2)</f>
        <v>71084.23</v>
      </c>
      <c r="G47" s="9">
        <f t="shared" ref="G47" si="515">ROUND(E47*0,2)</f>
        <v>0</v>
      </c>
      <c r="H47" s="9">
        <f t="shared" ref="H47" si="516">E47-F47-G47</f>
        <v>1706021.4699999974</v>
      </c>
      <c r="I47" s="9">
        <f t="shared" ref="I47" si="517">ROUND(H47*0,2)</f>
        <v>0</v>
      </c>
      <c r="J47" s="9">
        <f t="shared" ref="J47" si="518">ROUND((I47*0.58)+((I47*0.42)*0.1),2)</f>
        <v>0</v>
      </c>
      <c r="K47" s="9">
        <f t="shared" ref="K47" si="519">ROUND((I47*0.42)*0.9,2)</f>
        <v>0</v>
      </c>
      <c r="L47" s="69">
        <f t="shared" ref="L47" si="520">IF(J47+K47=I47,H47-I47,"ERROR")</f>
        <v>1706021.4699999974</v>
      </c>
      <c r="M47" s="9">
        <f t="shared" ref="M47" si="521">ROUND(L47*0.465,2)</f>
        <v>793299.98</v>
      </c>
      <c r="N47" s="9">
        <f>ROUND(L47*0.3,2)-0.02</f>
        <v>511806.42</v>
      </c>
      <c r="O47" s="9">
        <f>ROUND(L47*0.1285,2)+0.02</f>
        <v>219223.78</v>
      </c>
      <c r="P47" s="9">
        <f t="shared" ref="P47" si="522">ROUND((L47*0.07)*0.9,2)</f>
        <v>107479.35</v>
      </c>
      <c r="Q47" s="9">
        <f>ROUND(L47*0.01,2)+0.01</f>
        <v>17060.219999999998</v>
      </c>
      <c r="R47" s="9">
        <f t="shared" ref="R47" si="523">ROUND((L47*0.0075)*0.9,2)</f>
        <v>11515.64</v>
      </c>
      <c r="S47" s="9">
        <f t="shared" ref="S47" si="524">ROUND((L47*0.0075)*0.9,2)</f>
        <v>11515.64</v>
      </c>
      <c r="T47" s="9">
        <f>ROUND(L47*0.02,2)/2+0.005</f>
        <v>17060.22</v>
      </c>
      <c r="U47" s="9">
        <f>ROUND(L47*0.02,2)/2+0.005</f>
        <v>17060.22</v>
      </c>
      <c r="V47" s="42">
        <f t="shared" ref="V47" si="525">E47/W47</f>
        <v>2240.9907944514471</v>
      </c>
      <c r="W47" s="10">
        <v>793</v>
      </c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</row>
    <row r="48" spans="1:96" ht="15.75" customHeight="1" x14ac:dyDescent="0.25">
      <c r="A48" s="8">
        <f>Mountaineer!A48</f>
        <v>44310</v>
      </c>
      <c r="B48" s="9">
        <v>17111799.43</v>
      </c>
      <c r="C48" s="9">
        <v>15388564.459999999</v>
      </c>
      <c r="D48" s="9">
        <v>187721</v>
      </c>
      <c r="E48" s="9">
        <f t="shared" ref="E48" si="526">B48-C48-D48</f>
        <v>1535513.9700000007</v>
      </c>
      <c r="F48" s="9">
        <f>ROUND(E48*0.04,2)</f>
        <v>61420.56</v>
      </c>
      <c r="G48" s="9">
        <f t="shared" ref="G48" si="527">ROUND(E48*0,2)</f>
        <v>0</v>
      </c>
      <c r="H48" s="9">
        <f t="shared" ref="H48" si="528">E48-F48-G48</f>
        <v>1474093.4100000006</v>
      </c>
      <c r="I48" s="9">
        <f t="shared" ref="I48" si="529">ROUND(H48*0,2)</f>
        <v>0</v>
      </c>
      <c r="J48" s="9">
        <f t="shared" ref="J48" si="530">ROUND((I48*0.58)+((I48*0.42)*0.1),2)</f>
        <v>0</v>
      </c>
      <c r="K48" s="9">
        <f t="shared" ref="K48" si="531">ROUND((I48*0.42)*0.9,2)</f>
        <v>0</v>
      </c>
      <c r="L48" s="69">
        <f t="shared" ref="L48" si="532">IF(J48+K48=I48,H48-I48,"ERROR")</f>
        <v>1474093.4100000006</v>
      </c>
      <c r="M48" s="9">
        <f t="shared" ref="M48" si="533">ROUND(L48*0.465,2)</f>
        <v>685453.44</v>
      </c>
      <c r="N48" s="9">
        <f>ROUND(L48*0.3,2)-0.03</f>
        <v>442227.99</v>
      </c>
      <c r="O48" s="9">
        <f>ROUND(L48*0.1285,2)+0.02</f>
        <v>189421.02</v>
      </c>
      <c r="P48" s="9">
        <f t="shared" ref="P48" si="534">ROUND((L48*0.07)*0.9,2)</f>
        <v>92867.88</v>
      </c>
      <c r="Q48" s="9">
        <f>ROUND(L48*0.01,2)+0.01</f>
        <v>14740.94</v>
      </c>
      <c r="R48" s="9">
        <f t="shared" ref="R48" si="535">ROUND((L48*0.0075)*0.9,2)</f>
        <v>9950.1299999999992</v>
      </c>
      <c r="S48" s="9">
        <f t="shared" ref="S48" si="536">ROUND((L48*0.0075)*0.9,2)</f>
        <v>9950.1299999999992</v>
      </c>
      <c r="T48" s="9">
        <f>ROUND(L48*0.02,2)/2+0.005</f>
        <v>14740.939999999999</v>
      </c>
      <c r="U48" s="9">
        <f>ROUND(L48*0.02,2)/2+0.005</f>
        <v>14740.939999999999</v>
      </c>
      <c r="V48" s="42">
        <f t="shared" ref="V48" si="537">E48/W48</f>
        <v>1931.4641132075481</v>
      </c>
      <c r="W48" s="10">
        <v>795</v>
      </c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</row>
    <row r="49" spans="1:96" ht="15.75" customHeight="1" x14ac:dyDescent="0.25">
      <c r="A49" s="8">
        <f>Mountaineer!A49</f>
        <v>44317</v>
      </c>
      <c r="B49" s="9">
        <v>17385027.379999999</v>
      </c>
      <c r="C49" s="9">
        <v>15629895.350000001</v>
      </c>
      <c r="D49" s="9">
        <v>187666</v>
      </c>
      <c r="E49" s="9">
        <f t="shared" ref="E49" si="538">B49-C49-D49</f>
        <v>1567466.0299999975</v>
      </c>
      <c r="F49" s="9">
        <f>ROUND(E49*0.04,2)+0.01</f>
        <v>62698.65</v>
      </c>
      <c r="G49" s="9">
        <f t="shared" ref="G49" si="539">ROUND(E49*0,2)</f>
        <v>0</v>
      </c>
      <c r="H49" s="9">
        <f t="shared" ref="H49" si="540">E49-F49-G49</f>
        <v>1504767.3799999976</v>
      </c>
      <c r="I49" s="9">
        <f t="shared" ref="I49" si="541">ROUND(H49*0,2)</f>
        <v>0</v>
      </c>
      <c r="J49" s="9">
        <f t="shared" ref="J49" si="542">ROUND((I49*0.58)+((I49*0.42)*0.1),2)</f>
        <v>0</v>
      </c>
      <c r="K49" s="9">
        <f t="shared" ref="K49" si="543">ROUND((I49*0.42)*0.9,2)</f>
        <v>0</v>
      </c>
      <c r="L49" s="69">
        <f t="shared" ref="L49" si="544">IF(J49+K49=I49,H49-I49,"ERROR")</f>
        <v>1504767.3799999976</v>
      </c>
      <c r="M49" s="9">
        <f t="shared" ref="M49" si="545">ROUND(L49*0.465,2)</f>
        <v>699716.83</v>
      </c>
      <c r="N49" s="9">
        <f>ROUND(L49*0.3,2)-0.05</f>
        <v>451430.16000000003</v>
      </c>
      <c r="O49" s="9">
        <f>ROUND(L49*0.1285,2)+0.04</f>
        <v>193362.65</v>
      </c>
      <c r="P49" s="9">
        <f t="shared" ref="P49" si="546">ROUND((L49*0.07)*0.9,2)</f>
        <v>94800.34</v>
      </c>
      <c r="Q49" s="9">
        <f>ROUND(L49*0.01,2)+0.01</f>
        <v>15047.68</v>
      </c>
      <c r="R49" s="9">
        <f t="shared" ref="R49" si="547">ROUND((L49*0.0075)*0.9,2)</f>
        <v>10157.18</v>
      </c>
      <c r="S49" s="9">
        <f t="shared" ref="S49" si="548">ROUND((L49*0.0075)*0.9,2)</f>
        <v>10157.18</v>
      </c>
      <c r="T49" s="9">
        <f>ROUND(L49*0.02,2)/2+0.005</f>
        <v>15047.679999999998</v>
      </c>
      <c r="U49" s="9">
        <f>ROUND(L49*0.02,2)/2+0.005</f>
        <v>15047.679999999998</v>
      </c>
      <c r="V49" s="42">
        <f t="shared" ref="V49" si="549">E49/W49</f>
        <v>1974.1385768261932</v>
      </c>
      <c r="W49" s="10">
        <v>794</v>
      </c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</row>
    <row r="50" spans="1:96" ht="15.75" customHeight="1" x14ac:dyDescent="0.25">
      <c r="A50" s="8">
        <f>Mountaineer!A50</f>
        <v>44324</v>
      </c>
      <c r="B50" s="9">
        <v>16826120.73</v>
      </c>
      <c r="C50" s="9">
        <v>15095621.420000002</v>
      </c>
      <c r="D50" s="9">
        <v>189639</v>
      </c>
      <c r="E50" s="9">
        <f t="shared" ref="E50" si="550">B50-C50-D50</f>
        <v>1540860.3099999987</v>
      </c>
      <c r="F50" s="9">
        <f>ROUND(E50*0.04,2)</f>
        <v>61634.41</v>
      </c>
      <c r="G50" s="9">
        <f t="shared" ref="G50" si="551">ROUND(E50*0,2)</f>
        <v>0</v>
      </c>
      <c r="H50" s="9">
        <f t="shared" ref="H50" si="552">E50-F50-G50</f>
        <v>1479225.8999999987</v>
      </c>
      <c r="I50" s="9">
        <f t="shared" ref="I50" si="553">ROUND(H50*0,2)</f>
        <v>0</v>
      </c>
      <c r="J50" s="9">
        <f t="shared" ref="J50" si="554">ROUND((I50*0.58)+((I50*0.42)*0.1),2)</f>
        <v>0</v>
      </c>
      <c r="K50" s="9">
        <f t="shared" ref="K50" si="555">ROUND((I50*0.42)*0.9,2)</f>
        <v>0</v>
      </c>
      <c r="L50" s="69">
        <f t="shared" ref="L50" si="556">IF(J50+K50=I50,H50-I50,"ERROR")</f>
        <v>1479225.8999999987</v>
      </c>
      <c r="M50" s="9">
        <f t="shared" ref="M50" si="557">ROUND(L50*0.465,2)</f>
        <v>687840.04</v>
      </c>
      <c r="N50" s="9">
        <f>ROUND(L50*0.3,2)</f>
        <v>443767.77</v>
      </c>
      <c r="O50" s="9">
        <f>ROUND(L50*0.1285,2)+0.01</f>
        <v>190080.54</v>
      </c>
      <c r="P50" s="9">
        <f t="shared" ref="P50" si="558">ROUND((L50*0.07)*0.9,2)</f>
        <v>93191.23</v>
      </c>
      <c r="Q50" s="9">
        <f>ROUND(L50*0.01,2)</f>
        <v>14792.26</v>
      </c>
      <c r="R50" s="9">
        <f t="shared" ref="R50" si="559">ROUND((L50*0.0075)*0.9,2)</f>
        <v>9984.77</v>
      </c>
      <c r="S50" s="9">
        <f t="shared" ref="S50" si="560">ROUND((L50*0.0075)*0.9,2)</f>
        <v>9984.77</v>
      </c>
      <c r="T50" s="9">
        <f>ROUND(L50*0.02,2)/2</f>
        <v>14792.26</v>
      </c>
      <c r="U50" s="9">
        <f>ROUND(L50*0.02,2)/2</f>
        <v>14792.26</v>
      </c>
      <c r="V50" s="42">
        <f t="shared" ref="V50" si="561">E50/W50</f>
        <v>1940.6301133501242</v>
      </c>
      <c r="W50" s="10">
        <v>794</v>
      </c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</row>
    <row r="51" spans="1:96" ht="15.75" customHeight="1" x14ac:dyDescent="0.25">
      <c r="A51" s="8">
        <f>Mountaineer!A51</f>
        <v>44331</v>
      </c>
      <c r="B51" s="9">
        <v>15510316.279999999</v>
      </c>
      <c r="C51" s="9">
        <v>13881791.6</v>
      </c>
      <c r="D51" s="9">
        <v>196282</v>
      </c>
      <c r="E51" s="9">
        <f t="shared" ref="E51" si="562">B51-C51-D51</f>
        <v>1432242.6799999997</v>
      </c>
      <c r="F51" s="9">
        <f>ROUND(E51*0.04,2)-0.01</f>
        <v>57289.7</v>
      </c>
      <c r="G51" s="9">
        <f t="shared" ref="G51" si="563">ROUND(E51*0,2)</f>
        <v>0</v>
      </c>
      <c r="H51" s="9">
        <f t="shared" ref="H51" si="564">E51-F51-G51</f>
        <v>1374952.9799999997</v>
      </c>
      <c r="I51" s="9">
        <f t="shared" ref="I51" si="565">ROUND(H51*0,2)</f>
        <v>0</v>
      </c>
      <c r="J51" s="9">
        <f t="shared" ref="J51" si="566">ROUND((I51*0.58)+((I51*0.42)*0.1),2)</f>
        <v>0</v>
      </c>
      <c r="K51" s="9">
        <f t="shared" ref="K51" si="567">ROUND((I51*0.42)*0.9,2)</f>
        <v>0</v>
      </c>
      <c r="L51" s="69">
        <f t="shared" ref="L51" si="568">IF(J51+K51=I51,H51-I51,"ERROR")</f>
        <v>1374952.9799999997</v>
      </c>
      <c r="M51" s="9">
        <f t="shared" ref="M51" si="569">ROUND(L51*0.465,2)</f>
        <v>639353.14</v>
      </c>
      <c r="N51" s="9">
        <f>ROUND(L51*0.3,2)+0.05</f>
        <v>412485.94</v>
      </c>
      <c r="O51" s="9">
        <f>ROUND(L51*0.1285,2)-0.02</f>
        <v>176681.44</v>
      </c>
      <c r="P51" s="9">
        <f t="shared" ref="P51" si="570">ROUND((L51*0.07)*0.9,2)</f>
        <v>86622.04</v>
      </c>
      <c r="Q51" s="9">
        <f>ROUND(L51*0.01,2)-0.01</f>
        <v>13749.52</v>
      </c>
      <c r="R51" s="9">
        <f t="shared" ref="R51" si="571">ROUND((L51*0.0075)*0.9,2)</f>
        <v>9280.93</v>
      </c>
      <c r="S51" s="9">
        <f t="shared" ref="S51" si="572">ROUND((L51*0.0075)*0.9,2)</f>
        <v>9280.93</v>
      </c>
      <c r="T51" s="9">
        <f>ROUND(L51*0.02,2)/2-0.01</f>
        <v>13749.52</v>
      </c>
      <c r="U51" s="9">
        <f>ROUND(L51*0.02,2)/2-0.01</f>
        <v>13749.52</v>
      </c>
      <c r="V51" s="42">
        <f t="shared" ref="V51" si="573">E51/W51</f>
        <v>1917.3262115127172</v>
      </c>
      <c r="W51" s="10">
        <v>747</v>
      </c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</row>
    <row r="52" spans="1:96" ht="15.75" customHeight="1" x14ac:dyDescent="0.25">
      <c r="A52" s="8">
        <f>Mountaineer!A52</f>
        <v>44338</v>
      </c>
      <c r="B52" s="9">
        <v>13741869.25</v>
      </c>
      <c r="C52" s="9">
        <v>12211055.5</v>
      </c>
      <c r="D52" s="9">
        <v>187976</v>
      </c>
      <c r="E52" s="9">
        <f t="shared" ref="E52" si="574">B52-C52-D52</f>
        <v>1342837.75</v>
      </c>
      <c r="F52" s="9">
        <f>ROUND(E52*0.04,2)-0.01</f>
        <v>53713.5</v>
      </c>
      <c r="G52" s="9">
        <f t="shared" ref="G52" si="575">ROUND(E52*0,2)</f>
        <v>0</v>
      </c>
      <c r="H52" s="9">
        <f t="shared" ref="H52" si="576">E52-F52-G52</f>
        <v>1289124.25</v>
      </c>
      <c r="I52" s="9">
        <f t="shared" ref="I52" si="577">ROUND(H52*0,2)</f>
        <v>0</v>
      </c>
      <c r="J52" s="9">
        <f t="shared" ref="J52" si="578">ROUND((I52*0.58)+((I52*0.42)*0.1),2)</f>
        <v>0</v>
      </c>
      <c r="K52" s="9">
        <f t="shared" ref="K52" si="579">ROUND((I52*0.42)*0.9,2)</f>
        <v>0</v>
      </c>
      <c r="L52" s="69">
        <f t="shared" ref="L52" si="580">IF(J52+K52=I52,H52-I52,"ERROR")</f>
        <v>1289124.25</v>
      </c>
      <c r="M52" s="9">
        <f t="shared" ref="M52" si="581">ROUND(L52*0.465,2)</f>
        <v>599442.78</v>
      </c>
      <c r="N52" s="9">
        <f>ROUND(L52*0.3,2)</f>
        <v>386737.28</v>
      </c>
      <c r="O52" s="9">
        <f>ROUND(L52*0.1285,2)-0.01</f>
        <v>165652.46</v>
      </c>
      <c r="P52" s="9">
        <f t="shared" ref="P52" si="582">ROUND((L52*0.07)*0.9,2)</f>
        <v>81214.83</v>
      </c>
      <c r="Q52" s="9">
        <f>ROUND(L52*0.01,2)</f>
        <v>12891.24</v>
      </c>
      <c r="R52" s="9">
        <f t="shared" ref="R52" si="583">ROUND((L52*0.0075)*0.9,2)</f>
        <v>8701.59</v>
      </c>
      <c r="S52" s="9">
        <f t="shared" ref="S52" si="584">ROUND((L52*0.0075)*0.9,2)</f>
        <v>8701.59</v>
      </c>
      <c r="T52" s="9">
        <f>ROUND(L52*0.02,2)/2-0.005</f>
        <v>12891.240000000002</v>
      </c>
      <c r="U52" s="9">
        <f>ROUND(L52*0.02,2)/2-0.005</f>
        <v>12891.240000000002</v>
      </c>
      <c r="V52" s="42">
        <f t="shared" ref="V52" si="585">E52/W52</f>
        <v>1746.2129388816645</v>
      </c>
      <c r="W52" s="10">
        <v>769</v>
      </c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</row>
    <row r="53" spans="1:96" ht="15.75" customHeight="1" x14ac:dyDescent="0.25">
      <c r="A53" s="8">
        <f>Mountaineer!A53</f>
        <v>44345</v>
      </c>
      <c r="B53" s="9">
        <v>16200345.220000001</v>
      </c>
      <c r="C53" s="9">
        <v>14559848.119999999</v>
      </c>
      <c r="D53" s="9">
        <v>194366</v>
      </c>
      <c r="E53" s="9">
        <f t="shared" ref="E53" si="586">B53-C53-D53</f>
        <v>1446131.1000000015</v>
      </c>
      <c r="F53" s="9">
        <f>ROUND(E53*0.04,2)</f>
        <v>57845.24</v>
      </c>
      <c r="G53" s="9">
        <f t="shared" ref="G53" si="587">ROUND(E53*0,2)</f>
        <v>0</v>
      </c>
      <c r="H53" s="9">
        <f t="shared" ref="H53" si="588">E53-F53-G53</f>
        <v>1388285.8600000015</v>
      </c>
      <c r="I53" s="9">
        <f t="shared" ref="I53" si="589">ROUND(H53*0,2)</f>
        <v>0</v>
      </c>
      <c r="J53" s="9">
        <f t="shared" ref="J53" si="590">ROUND((I53*0.58)+((I53*0.42)*0.1),2)</f>
        <v>0</v>
      </c>
      <c r="K53" s="9">
        <f t="shared" ref="K53" si="591">ROUND((I53*0.42)*0.9,2)</f>
        <v>0</v>
      </c>
      <c r="L53" s="69">
        <f t="shared" ref="L53" si="592">IF(J53+K53=I53,H53-I53,"ERROR")</f>
        <v>1388285.8600000015</v>
      </c>
      <c r="M53" s="9">
        <f t="shared" ref="M53" si="593">ROUND(L53*0.465,2)</f>
        <v>645552.92000000004</v>
      </c>
      <c r="N53" s="9">
        <f>ROUND(L53*0.3,2)</f>
        <v>416485.76</v>
      </c>
      <c r="O53" s="9">
        <f>ROUND(L53*0.1285,2)</f>
        <v>178394.73</v>
      </c>
      <c r="P53" s="9">
        <f t="shared" ref="P53" si="594">ROUND((L53*0.07)*0.9,2)</f>
        <v>87462.01</v>
      </c>
      <c r="Q53" s="9">
        <f>ROUND(L53*0.01,2)</f>
        <v>13882.86</v>
      </c>
      <c r="R53" s="9">
        <f t="shared" ref="R53" si="595">ROUND((L53*0.0075)*0.9,2)</f>
        <v>9370.93</v>
      </c>
      <c r="S53" s="9">
        <f t="shared" ref="S53" si="596">ROUND((L53*0.0075)*0.9,2)</f>
        <v>9370.93</v>
      </c>
      <c r="T53" s="9">
        <f>ROUND(L53*0.02,2)/2</f>
        <v>13882.86</v>
      </c>
      <c r="U53" s="9">
        <f>ROUND(L53*0.02,2)/2</f>
        <v>13882.86</v>
      </c>
      <c r="V53" s="42">
        <f t="shared" ref="V53" si="597">E53/W53</f>
        <v>1821.3238035264503</v>
      </c>
      <c r="W53" s="10">
        <v>794</v>
      </c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</row>
    <row r="54" spans="1:96" ht="15.75" customHeight="1" x14ac:dyDescent="0.25">
      <c r="A54" s="8">
        <f>Mountaineer!A54</f>
        <v>44352</v>
      </c>
      <c r="B54" s="9">
        <v>16828754.77</v>
      </c>
      <c r="C54" s="9">
        <v>15133751.890000001</v>
      </c>
      <c r="D54" s="9">
        <v>209012</v>
      </c>
      <c r="E54" s="9">
        <f t="shared" ref="E54" si="598">B54-C54-D54</f>
        <v>1485990.879999999</v>
      </c>
      <c r="F54" s="9">
        <f>ROUND(E54*0.04,2)-0.01</f>
        <v>59439.63</v>
      </c>
      <c r="G54" s="9">
        <f t="shared" ref="G54" si="599">ROUND(E54*0,2)</f>
        <v>0</v>
      </c>
      <c r="H54" s="9">
        <f t="shared" ref="H54" si="600">E54-F54-G54</f>
        <v>1426551.2499999991</v>
      </c>
      <c r="I54" s="9">
        <f t="shared" ref="I54" si="601">ROUND(H54*0,2)</f>
        <v>0</v>
      </c>
      <c r="J54" s="9">
        <f t="shared" ref="J54" si="602">ROUND((I54*0.58)+((I54*0.42)*0.1),2)</f>
        <v>0</v>
      </c>
      <c r="K54" s="9">
        <f t="shared" ref="K54" si="603">ROUND((I54*0.42)*0.9,2)</f>
        <v>0</v>
      </c>
      <c r="L54" s="69">
        <f t="shared" ref="L54" si="604">IF(J54+K54=I54,H54-I54,"ERROR")</f>
        <v>1426551.2499999991</v>
      </c>
      <c r="M54" s="9">
        <f t="shared" ref="M54" si="605">ROUND(L54*0.465,2)</f>
        <v>663346.32999999996</v>
      </c>
      <c r="N54" s="9">
        <f>ROUND(L54*0.3,2)-0.04</f>
        <v>427965.34</v>
      </c>
      <c r="O54" s="9">
        <f>ROUND(L54*0.1285,2)+0.01</f>
        <v>183311.85</v>
      </c>
      <c r="P54" s="9">
        <f t="shared" ref="P54" si="606">ROUND((L54*0.07)*0.9,2)</f>
        <v>89872.73</v>
      </c>
      <c r="Q54" s="9">
        <f>ROUND(L54*0.01,2)+0.01</f>
        <v>14265.52</v>
      </c>
      <c r="R54" s="9">
        <f t="shared" ref="R54" si="607">ROUND((L54*0.0075)*0.9,2)</f>
        <v>9629.2199999999993</v>
      </c>
      <c r="S54" s="9">
        <f t="shared" ref="S54" si="608">ROUND((L54*0.0075)*0.9,2)</f>
        <v>9629.2199999999993</v>
      </c>
      <c r="T54" s="9">
        <f>ROUND(L54*0.02,2)/2+0.005</f>
        <v>14265.519999999999</v>
      </c>
      <c r="U54" s="9">
        <f>ROUND(L54*0.02,2)/2+0.005</f>
        <v>14265.519999999999</v>
      </c>
      <c r="V54" s="42">
        <f t="shared" ref="V54" si="609">E54/W54</f>
        <v>1762.7412574139964</v>
      </c>
      <c r="W54" s="10">
        <v>843</v>
      </c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</row>
    <row r="55" spans="1:96" ht="15.75" customHeight="1" x14ac:dyDescent="0.25">
      <c r="A55" s="8">
        <f>Mountaineer!A55</f>
        <v>44359</v>
      </c>
      <c r="B55" s="9">
        <v>16351588.939999999</v>
      </c>
      <c r="C55" s="9">
        <v>14729806.040000001</v>
      </c>
      <c r="D55" s="9">
        <v>209746</v>
      </c>
      <c r="E55" s="9">
        <f t="shared" ref="E55" si="610">B55-C55-D55</f>
        <v>1412036.8999999985</v>
      </c>
      <c r="F55" s="9">
        <f>ROUND(E55*0.04,2)</f>
        <v>56481.48</v>
      </c>
      <c r="G55" s="9">
        <f t="shared" ref="G55" si="611">ROUND(E55*0,2)</f>
        <v>0</v>
      </c>
      <c r="H55" s="9">
        <f t="shared" ref="H55" si="612">E55-F55-G55</f>
        <v>1355555.4199999985</v>
      </c>
      <c r="I55" s="9">
        <f t="shared" ref="I55" si="613">ROUND(H55*0,2)</f>
        <v>0</v>
      </c>
      <c r="J55" s="9">
        <f t="shared" ref="J55" si="614">ROUND((I55*0.58)+((I55*0.42)*0.1),2)</f>
        <v>0</v>
      </c>
      <c r="K55" s="9">
        <f t="shared" ref="K55" si="615">ROUND((I55*0.42)*0.9,2)</f>
        <v>0</v>
      </c>
      <c r="L55" s="69">
        <f t="shared" ref="L55" si="616">IF(J55+K55=I55,H55-I55,"ERROR")</f>
        <v>1355555.4199999985</v>
      </c>
      <c r="M55" s="9">
        <f t="shared" ref="M55" si="617">ROUND(L55*0.465,2)</f>
        <v>630333.27</v>
      </c>
      <c r="N55" s="9">
        <f>ROUND(L55*0.3,2)+0.01</f>
        <v>406666.64</v>
      </c>
      <c r="O55" s="9">
        <f>ROUND(L55*0.1285,2)</f>
        <v>174188.87</v>
      </c>
      <c r="P55" s="9">
        <f t="shared" ref="P55" si="618">ROUND((L55*0.07)*0.9,2)</f>
        <v>85399.99</v>
      </c>
      <c r="Q55" s="9">
        <f>ROUND(L55*0.01,2)</f>
        <v>13555.55</v>
      </c>
      <c r="R55" s="9">
        <f t="shared" ref="R55" si="619">ROUND((L55*0.0075)*0.9,2)</f>
        <v>9150</v>
      </c>
      <c r="S55" s="9">
        <f t="shared" ref="S55" si="620">ROUND((L55*0.0075)*0.9,2)</f>
        <v>9150</v>
      </c>
      <c r="T55" s="9">
        <f>ROUND(L55*0.02,2)/2-0.005</f>
        <v>13555.550000000001</v>
      </c>
      <c r="U55" s="9">
        <f>ROUND(L55*0.02,2)/2-0.005</f>
        <v>13555.550000000001</v>
      </c>
      <c r="V55" s="42">
        <f t="shared" ref="V55" si="621">E55/W55</f>
        <v>1615.6028604118976</v>
      </c>
      <c r="W55" s="10">
        <v>874</v>
      </c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</row>
    <row r="56" spans="1:96" ht="15.75" customHeight="1" x14ac:dyDescent="0.25">
      <c r="A56" s="8">
        <f>Mountaineer!A56</f>
        <v>44366</v>
      </c>
      <c r="B56" s="9">
        <v>15880496.279999999</v>
      </c>
      <c r="C56" s="9">
        <v>14169863.01</v>
      </c>
      <c r="D56" s="9">
        <v>199357</v>
      </c>
      <c r="E56" s="9">
        <f t="shared" ref="E56" si="622">B56-C56-D56</f>
        <v>1511276.2699999996</v>
      </c>
      <c r="F56" s="9">
        <f>ROUND(E56*0.04,2)-0.01</f>
        <v>60451.040000000001</v>
      </c>
      <c r="G56" s="9">
        <f t="shared" ref="G56" si="623">ROUND(E56*0,2)</f>
        <v>0</v>
      </c>
      <c r="H56" s="9">
        <f t="shared" ref="H56" si="624">E56-F56-G56</f>
        <v>1450825.2299999995</v>
      </c>
      <c r="I56" s="9">
        <f t="shared" ref="I56" si="625">ROUND(H56*0,2)</f>
        <v>0</v>
      </c>
      <c r="J56" s="9">
        <f t="shared" ref="J56" si="626">ROUND((I56*0.58)+((I56*0.42)*0.1),2)</f>
        <v>0</v>
      </c>
      <c r="K56" s="9">
        <f t="shared" ref="K56" si="627">ROUND((I56*0.42)*0.9,2)</f>
        <v>0</v>
      </c>
      <c r="L56" s="69">
        <f t="shared" ref="L56" si="628">IF(J56+K56=I56,H56-I56,"ERROR")</f>
        <v>1450825.2299999995</v>
      </c>
      <c r="M56" s="9">
        <f t="shared" ref="M56" si="629">ROUND(L56*0.465,2)</f>
        <v>674633.73</v>
      </c>
      <c r="N56" s="9">
        <f>ROUND(L56*0.3,2)-0.05</f>
        <v>435247.52</v>
      </c>
      <c r="O56" s="9">
        <f>ROUND(L56*0.1285,2)+0.03</f>
        <v>186431.07</v>
      </c>
      <c r="P56" s="9">
        <f t="shared" ref="P56" si="630">ROUND((L56*0.07)*0.9,2)</f>
        <v>91401.99</v>
      </c>
      <c r="Q56" s="9">
        <f>ROUND(L56*0.01,2)+0.01</f>
        <v>14508.26</v>
      </c>
      <c r="R56" s="9">
        <f t="shared" ref="R56" si="631">ROUND((L56*0.0075)*0.9,2)</f>
        <v>9793.07</v>
      </c>
      <c r="S56" s="9">
        <f t="shared" ref="S56" si="632">ROUND((L56*0.0075)*0.9,2)</f>
        <v>9793.07</v>
      </c>
      <c r="T56" s="9">
        <f>ROUND(L56*0.02,2)/2+0.01</f>
        <v>14508.26</v>
      </c>
      <c r="U56" s="9">
        <f>ROUND(L56*0.02,2)/2+0.01</f>
        <v>14508.26</v>
      </c>
      <c r="V56" s="42">
        <f t="shared" ref="V56" si="633">E56/W56</f>
        <v>1709.5885407239814</v>
      </c>
      <c r="W56" s="10">
        <v>884</v>
      </c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</row>
    <row r="57" spans="1:96" ht="15.75" customHeight="1" x14ac:dyDescent="0.25">
      <c r="A57" s="8">
        <f>Mountaineer!A57</f>
        <v>44373</v>
      </c>
      <c r="B57" s="9">
        <v>15934285</v>
      </c>
      <c r="C57" s="9">
        <v>14381824.829999998</v>
      </c>
      <c r="D57" s="9">
        <v>209758</v>
      </c>
      <c r="E57" s="9">
        <f t="shared" ref="E57" si="634">B57-C57-D57</f>
        <v>1342702.1700000018</v>
      </c>
      <c r="F57" s="9">
        <f>ROUND(E57*0.04,2)</f>
        <v>53708.09</v>
      </c>
      <c r="G57" s="9">
        <f t="shared" ref="G57" si="635">ROUND(E57*0,2)</f>
        <v>0</v>
      </c>
      <c r="H57" s="9">
        <f t="shared" ref="H57" si="636">E57-F57-G57</f>
        <v>1288994.0800000017</v>
      </c>
      <c r="I57" s="9">
        <f t="shared" ref="I57" si="637">ROUND(H57*0,2)</f>
        <v>0</v>
      </c>
      <c r="J57" s="9">
        <f t="shared" ref="J57" si="638">ROUND((I57*0.58)+((I57*0.42)*0.1),2)</f>
        <v>0</v>
      </c>
      <c r="K57" s="9">
        <f t="shared" ref="K57" si="639">ROUND((I57*0.42)*0.9,2)</f>
        <v>0</v>
      </c>
      <c r="L57" s="69">
        <f t="shared" ref="L57" si="640">IF(J57+K57=I57,H57-I57,"ERROR")</f>
        <v>1288994.0800000017</v>
      </c>
      <c r="M57" s="9">
        <f t="shared" ref="M57" si="641">ROUND(L57*0.465,2)</f>
        <v>599382.25</v>
      </c>
      <c r="N57" s="9">
        <f>ROUND(L57*0.3,2)-0.01</f>
        <v>386698.20999999996</v>
      </c>
      <c r="O57" s="9">
        <f>ROUND(L57*0.1285,2)+0.01</f>
        <v>165635.75</v>
      </c>
      <c r="P57" s="9">
        <f t="shared" ref="P57" si="642">ROUND((L57*0.07)*0.9,2)</f>
        <v>81206.63</v>
      </c>
      <c r="Q57" s="9">
        <f>ROUND(L57*0.01,2)</f>
        <v>12889.94</v>
      </c>
      <c r="R57" s="9">
        <f t="shared" ref="R57" si="643">ROUND((L57*0.0075)*0.9,2)</f>
        <v>8700.7099999999991</v>
      </c>
      <c r="S57" s="9">
        <f t="shared" ref="S57" si="644">ROUND((L57*0.0075)*0.9,2)</f>
        <v>8700.7099999999991</v>
      </c>
      <c r="T57" s="9">
        <f>ROUND(L57*0.02,2)/2</f>
        <v>12889.94</v>
      </c>
      <c r="U57" s="9">
        <f>ROUND(L57*0.02,2)/2</f>
        <v>12889.94</v>
      </c>
      <c r="V57" s="42">
        <f t="shared" ref="V57" si="645">E57/W57</f>
        <v>1475.4968901098921</v>
      </c>
      <c r="W57" s="10">
        <v>910</v>
      </c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</row>
    <row r="58" spans="1:96" ht="15.75" customHeight="1" x14ac:dyDescent="0.25">
      <c r="A58" s="8" t="str">
        <f>Mountaineer!A58</f>
        <v>6/30/2021  ***</v>
      </c>
      <c r="B58" s="9">
        <v>7002078.2000000002</v>
      </c>
      <c r="C58" s="9">
        <v>6246402.9800000004</v>
      </c>
      <c r="D58" s="9">
        <v>85939</v>
      </c>
      <c r="E58" s="9">
        <f t="shared" ref="E58" si="646">B58-C58-D58</f>
        <v>669736.21999999974</v>
      </c>
      <c r="F58" s="9">
        <f>ROUND(E58*0.04,2)</f>
        <v>26789.45</v>
      </c>
      <c r="G58" s="9">
        <f t="shared" ref="G58" si="647">ROUND(E58*0,2)</f>
        <v>0</v>
      </c>
      <c r="H58" s="9">
        <f t="shared" ref="H58" si="648">E58-F58-G58</f>
        <v>642946.76999999979</v>
      </c>
      <c r="I58" s="9">
        <f t="shared" ref="I58" si="649">ROUND(H58*0,2)</f>
        <v>0</v>
      </c>
      <c r="J58" s="9">
        <f t="shared" ref="J58" si="650">ROUND((I58*0.58)+((I58*0.42)*0.1),2)</f>
        <v>0</v>
      </c>
      <c r="K58" s="9">
        <f t="shared" ref="K58" si="651">ROUND((I58*0.42)*0.9,2)</f>
        <v>0</v>
      </c>
      <c r="L58" s="69">
        <f t="shared" ref="L58" si="652">IF(J58+K58=I58,H58-I58,"ERROR")</f>
        <v>642946.76999999979</v>
      </c>
      <c r="M58" s="9">
        <f t="shared" ref="M58" si="653">ROUND(L58*0.465,2)</f>
        <v>298970.25</v>
      </c>
      <c r="N58" s="9">
        <f>ROUND(L58*0.3,2)+0.05</f>
        <v>192884.08</v>
      </c>
      <c r="O58" s="9">
        <f>ROUND(L58*0.1285,2)-0.03</f>
        <v>82618.63</v>
      </c>
      <c r="P58" s="9">
        <f t="shared" ref="P58" si="654">ROUND((L58*0.07)*0.9,2)</f>
        <v>40505.65</v>
      </c>
      <c r="Q58" s="9">
        <f>ROUND(L58*0.01,2)-0.01</f>
        <v>6429.46</v>
      </c>
      <c r="R58" s="9">
        <f t="shared" ref="R58" si="655">ROUND((L58*0.0075)*0.9,2)</f>
        <v>4339.8900000000003</v>
      </c>
      <c r="S58" s="9">
        <f t="shared" ref="S58" si="656">ROUND((L58*0.0075)*0.9,2)</f>
        <v>4339.8900000000003</v>
      </c>
      <c r="T58" s="9">
        <f>ROUND(L58*0.02,2)/2-0.01</f>
        <v>6429.46</v>
      </c>
      <c r="U58" s="9">
        <f>ROUND(L58*0.02,2)/2-0.01</f>
        <v>6429.46</v>
      </c>
      <c r="V58" s="42">
        <f t="shared" ref="V58" si="657">E58/W58</f>
        <v>710.21868504771976</v>
      </c>
      <c r="W58" s="10">
        <v>943</v>
      </c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</row>
    <row r="59" spans="1:96" ht="12.75" customHeight="1" x14ac:dyDescent="0.25"/>
    <row r="60" spans="1:96" ht="15" customHeight="1" thickBot="1" x14ac:dyDescent="0.3">
      <c r="B60" s="14">
        <f t="shared" ref="B60:U60" si="658">SUM(B6:B59)</f>
        <v>780877301.2900002</v>
      </c>
      <c r="C60" s="14">
        <f t="shared" si="658"/>
        <v>700407757.9000001</v>
      </c>
      <c r="D60" s="14">
        <f t="shared" si="658"/>
        <v>9894761.2000000011</v>
      </c>
      <c r="E60" s="14">
        <f t="shared" si="658"/>
        <v>70574782.189999998</v>
      </c>
      <c r="F60" s="14">
        <f t="shared" si="658"/>
        <v>2822991.2900000005</v>
      </c>
      <c r="G60" s="14">
        <f t="shared" si="658"/>
        <v>0</v>
      </c>
      <c r="H60" s="14">
        <f t="shared" si="658"/>
        <v>67751790.900000006</v>
      </c>
      <c r="I60" s="14">
        <f t="shared" si="658"/>
        <v>0</v>
      </c>
      <c r="J60" s="14">
        <f t="shared" si="658"/>
        <v>0</v>
      </c>
      <c r="K60" s="14">
        <f t="shared" si="658"/>
        <v>0</v>
      </c>
      <c r="L60" s="14">
        <f t="shared" si="658"/>
        <v>67751790.900000006</v>
      </c>
      <c r="M60" s="14">
        <f t="shared" si="658"/>
        <v>31504582.759999998</v>
      </c>
      <c r="N60" s="14">
        <f t="shared" si="658"/>
        <v>20325537.200000003</v>
      </c>
      <c r="O60" s="14">
        <f t="shared" si="658"/>
        <v>8706105.1300000027</v>
      </c>
      <c r="P60" s="14">
        <f t="shared" si="658"/>
        <v>4268362.82</v>
      </c>
      <c r="Q60" s="14">
        <f t="shared" si="658"/>
        <v>677517.92999999993</v>
      </c>
      <c r="R60" s="14">
        <f t="shared" si="658"/>
        <v>457324.60000000009</v>
      </c>
      <c r="S60" s="14">
        <f t="shared" si="658"/>
        <v>457324.60000000009</v>
      </c>
      <c r="T60" s="14">
        <f t="shared" si="658"/>
        <v>1062174.865</v>
      </c>
      <c r="U60" s="14">
        <f t="shared" si="658"/>
        <v>292860.98499999999</v>
      </c>
      <c r="V60" s="14">
        <f>AVERAGE(V6:V59)</f>
        <v>1894.5133762661612</v>
      </c>
      <c r="W60" s="16">
        <f>AVERAGE(W6:W59)</f>
        <v>707</v>
      </c>
    </row>
    <row r="61" spans="1:96" ht="15" customHeight="1" thickTop="1" x14ac:dyDescent="0.25"/>
    <row r="62" spans="1:96" ht="15" customHeight="1" x14ac:dyDescent="0.25">
      <c r="A62" s="1" t="s">
        <v>47</v>
      </c>
    </row>
    <row r="63" spans="1:96" ht="15" customHeight="1" x14ac:dyDescent="0.25">
      <c r="A63" s="1" t="s">
        <v>16</v>
      </c>
    </row>
    <row r="64" spans="1:96" ht="15" customHeight="1" x14ac:dyDescent="0.25">
      <c r="A64" s="1" t="s">
        <v>51</v>
      </c>
      <c r="B64" s="1"/>
    </row>
  </sheetData>
  <mergeCells count="1">
    <mergeCell ref="A4:W4"/>
  </mergeCells>
  <pageMargins left="0.25" right="0.25" top="0.5" bottom="0.25" header="0" footer="0"/>
  <pageSetup paperSize="5" scale="53" orientation="landscape" r:id="rId1"/>
  <headerFooter>
    <oddHeader>&amp;CWHEELING ISLAND CASINO VIDEO LOTTERY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64"/>
  <sheetViews>
    <sheetView workbookViewId="0">
      <pane ySplit="3" topLeftCell="A29" activePane="bottomLeft" state="frozen"/>
      <selection pane="bottomLeft"/>
    </sheetView>
  </sheetViews>
  <sheetFormatPr defaultRowHeight="15" customHeight="1" x14ac:dyDescent="0.25"/>
  <cols>
    <col min="1" max="1" width="14.85546875" style="2" customWidth="1"/>
    <col min="2" max="2" width="16.42578125" style="2" customWidth="1"/>
    <col min="3" max="3" width="16.28515625" style="2" customWidth="1"/>
    <col min="4" max="4" width="14.7109375" style="2" customWidth="1"/>
    <col min="5" max="5" width="15.5703125" style="2" customWidth="1"/>
    <col min="6" max="6" width="14.7109375" style="2" customWidth="1"/>
    <col min="7" max="7" width="12.7109375" style="2" customWidth="1"/>
    <col min="8" max="8" width="15.42578125" style="2" customWidth="1"/>
    <col min="9" max="9" width="12.7109375" style="2" hidden="1" customWidth="1"/>
    <col min="10" max="11" width="12.7109375" style="2" customWidth="1"/>
    <col min="12" max="12" width="15.140625" style="2" customWidth="1"/>
    <col min="13" max="13" width="15.85546875" style="2" customWidth="1"/>
    <col min="14" max="14" width="16.85546875" style="2" customWidth="1"/>
    <col min="15" max="15" width="15.28515625" style="2" customWidth="1"/>
    <col min="16" max="16" width="15.140625" style="2" customWidth="1"/>
    <col min="17" max="23" width="13.7109375" style="2" customWidth="1"/>
    <col min="24" max="16384" width="9.140625" style="2"/>
  </cols>
  <sheetData>
    <row r="1" spans="1:96" s="3" customFormat="1" ht="45" x14ac:dyDescent="0.25">
      <c r="A1" s="3" t="s">
        <v>14</v>
      </c>
      <c r="B1" s="3" t="s">
        <v>18</v>
      </c>
      <c r="C1" s="3" t="s">
        <v>19</v>
      </c>
      <c r="D1" s="3" t="s">
        <v>21</v>
      </c>
      <c r="E1" s="3" t="s">
        <v>22</v>
      </c>
      <c r="F1" s="3" t="s">
        <v>20</v>
      </c>
      <c r="G1" s="3" t="s">
        <v>23</v>
      </c>
      <c r="H1" s="3" t="s">
        <v>24</v>
      </c>
      <c r="I1" s="3" t="s">
        <v>15</v>
      </c>
      <c r="J1" s="3" t="s">
        <v>25</v>
      </c>
      <c r="K1" s="3" t="s">
        <v>26</v>
      </c>
      <c r="L1" s="3" t="s">
        <v>27</v>
      </c>
      <c r="M1" s="3" t="s">
        <v>12</v>
      </c>
      <c r="N1" s="3" t="s">
        <v>28</v>
      </c>
      <c r="O1" s="3" t="s">
        <v>23</v>
      </c>
      <c r="P1" s="3" t="s">
        <v>29</v>
      </c>
      <c r="Q1" s="3" t="s">
        <v>30</v>
      </c>
      <c r="R1" s="3" t="s">
        <v>31</v>
      </c>
      <c r="S1" s="3" t="s">
        <v>32</v>
      </c>
      <c r="T1" s="3" t="s">
        <v>39</v>
      </c>
      <c r="U1" s="3" t="s">
        <v>40</v>
      </c>
      <c r="V1" s="3" t="s">
        <v>33</v>
      </c>
      <c r="W1" s="3" t="s">
        <v>36</v>
      </c>
    </row>
    <row r="2" spans="1:96" s="4" customFormat="1" ht="15" customHeight="1" x14ac:dyDescent="0.25">
      <c r="A2" s="4" t="s">
        <v>49</v>
      </c>
      <c r="B2" s="5">
        <v>435808993.38000005</v>
      </c>
      <c r="C2" s="5">
        <v>395500532.27000004</v>
      </c>
      <c r="D2" s="5">
        <v>3972039</v>
      </c>
      <c r="E2" s="5">
        <v>36336422.110000007</v>
      </c>
      <c r="F2" s="5">
        <v>1453456.9400000004</v>
      </c>
      <c r="G2" s="5">
        <v>0</v>
      </c>
      <c r="H2" s="5">
        <v>34882965.170000009</v>
      </c>
      <c r="I2" s="5">
        <v>0</v>
      </c>
      <c r="J2" s="5">
        <v>0</v>
      </c>
      <c r="K2" s="5">
        <v>0</v>
      </c>
      <c r="L2" s="5">
        <v>34882965.170000009</v>
      </c>
      <c r="M2" s="5">
        <v>16220578.790000005</v>
      </c>
      <c r="N2" s="5">
        <v>10464889.34</v>
      </c>
      <c r="O2" s="5">
        <v>4482461.1899999995</v>
      </c>
      <c r="P2" s="5">
        <v>2197626.79</v>
      </c>
      <c r="Q2" s="5">
        <v>348829.68</v>
      </c>
      <c r="R2" s="5">
        <v>235460.01</v>
      </c>
      <c r="S2" s="5">
        <v>235460.01</v>
      </c>
      <c r="T2" s="5">
        <v>579021.19000000006</v>
      </c>
      <c r="U2" s="5">
        <v>118638.17</v>
      </c>
      <c r="V2" s="9">
        <v>1090.22</v>
      </c>
      <c r="W2" s="7">
        <v>651</v>
      </c>
    </row>
    <row r="3" spans="1:96" s="4" customFormat="1" ht="15" customHeight="1" x14ac:dyDescent="0.25"/>
    <row r="4" spans="1:96" s="4" customFormat="1" ht="15" customHeight="1" x14ac:dyDescent="0.25">
      <c r="A4" s="75" t="s">
        <v>46</v>
      </c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</row>
    <row r="5" spans="1:96" s="44" customFormat="1" ht="15" customHeight="1" x14ac:dyDescent="0.25"/>
    <row r="6" spans="1:96" ht="15" customHeight="1" x14ac:dyDescent="0.25">
      <c r="A6" s="8" t="str">
        <f>Mountaineer!A6</f>
        <v>7/4/2020 *</v>
      </c>
      <c r="B6" s="9">
        <v>5683415.8099999996</v>
      </c>
      <c r="C6" s="9">
        <v>5135568.72</v>
      </c>
      <c r="D6" s="9">
        <v>49592</v>
      </c>
      <c r="E6" s="9">
        <f t="shared" ref="E6" si="0">B6-C6-D6</f>
        <v>498255.08999999985</v>
      </c>
      <c r="F6" s="9">
        <f>ROUND(E6*0.04,2)+0.01</f>
        <v>19930.21</v>
      </c>
      <c r="G6" s="9">
        <f t="shared" ref="G6" si="1">ROUND(E6*0,2)</f>
        <v>0</v>
      </c>
      <c r="H6" s="9">
        <f t="shared" ref="H6" si="2">E6-F6-G6</f>
        <v>478324.87999999983</v>
      </c>
      <c r="I6" s="9">
        <f t="shared" ref="I6" si="3">ROUND(H6*0,2)</f>
        <v>0</v>
      </c>
      <c r="J6" s="9">
        <f t="shared" ref="J6" si="4">ROUND((I6*0.58)+((I6*0.42)*0.1),2)</f>
        <v>0</v>
      </c>
      <c r="K6" s="9">
        <f t="shared" ref="K6" si="5">ROUND((I6*0.42)*0.9,2)</f>
        <v>0</v>
      </c>
      <c r="L6" s="9">
        <f t="shared" ref="L6" si="6">IF(J6+K6=I6,H6-I6,"ERROR")</f>
        <v>478324.87999999983</v>
      </c>
      <c r="M6" s="9">
        <f t="shared" ref="M6" si="7">ROUND(L6*0.465,2)</f>
        <v>222421.07</v>
      </c>
      <c r="N6" s="9">
        <f>ROUND(L6*0.3,2)+0.05</f>
        <v>143497.50999999998</v>
      </c>
      <c r="O6" s="9">
        <f>ROUND(L6*0.1285,2)-0.02</f>
        <v>61464.73</v>
      </c>
      <c r="P6" s="9">
        <f t="shared" ref="P6" si="8">ROUND((L6*0.07)*0.9,2)</f>
        <v>30134.47</v>
      </c>
      <c r="Q6" s="9">
        <f>ROUND(L6*0.01,2)-0.01</f>
        <v>4783.24</v>
      </c>
      <c r="R6" s="9">
        <f t="shared" ref="R6" si="9">ROUND((L6*0.0075)*0.9,2)</f>
        <v>3228.69</v>
      </c>
      <c r="S6" s="9">
        <f t="shared" ref="S6" si="10">ROUND((L6*0.0075)*0.9,2)</f>
        <v>3228.69</v>
      </c>
      <c r="T6" s="9">
        <f>ROUND(L6*0.02,2)-0.02</f>
        <v>9566.48</v>
      </c>
      <c r="U6" s="9">
        <f t="shared" ref="U6" si="11">ROUND(L6*0,2)</f>
        <v>0</v>
      </c>
      <c r="V6" s="42">
        <f t="shared" ref="V6" si="12">E6/W6</f>
        <v>1230.2594814814811</v>
      </c>
      <c r="W6" s="10">
        <v>405</v>
      </c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</row>
    <row r="7" spans="1:96" ht="15" customHeight="1" x14ac:dyDescent="0.25">
      <c r="A7" s="8" t="str">
        <f>Mountaineer!A7</f>
        <v>7/11/2020</v>
      </c>
      <c r="B7" s="9">
        <v>9294430.3800000008</v>
      </c>
      <c r="C7" s="9">
        <v>8472869.1899999995</v>
      </c>
      <c r="D7" s="9">
        <v>78608</v>
      </c>
      <c r="E7" s="9">
        <f t="shared" ref="E7" si="13">B7-C7-D7</f>
        <v>742953.19000000134</v>
      </c>
      <c r="F7" s="9">
        <f>ROUND(E7*0.04,2)</f>
        <v>29718.13</v>
      </c>
      <c r="G7" s="9">
        <f t="shared" ref="G7" si="14">ROUND(E7*0,2)</f>
        <v>0</v>
      </c>
      <c r="H7" s="9">
        <f t="shared" ref="H7" si="15">E7-F7-G7</f>
        <v>713235.06000000134</v>
      </c>
      <c r="I7" s="9">
        <f t="shared" ref="I7" si="16">ROUND(H7*0,2)</f>
        <v>0</v>
      </c>
      <c r="J7" s="9">
        <f t="shared" ref="J7" si="17">ROUND((I7*0.58)+((I7*0.42)*0.1),2)</f>
        <v>0</v>
      </c>
      <c r="K7" s="9">
        <f t="shared" ref="K7" si="18">ROUND((I7*0.42)*0.9,2)</f>
        <v>0</v>
      </c>
      <c r="L7" s="9">
        <f t="shared" ref="L7" si="19">IF(J7+K7=I7,H7-I7,"ERROR")</f>
        <v>713235.06000000134</v>
      </c>
      <c r="M7" s="9">
        <f t="shared" ref="M7" si="20">ROUND(L7*0.465,2)</f>
        <v>331654.3</v>
      </c>
      <c r="N7" s="9">
        <f>ROUND(L7*0.3,2)-0.03</f>
        <v>213970.49</v>
      </c>
      <c r="O7" s="9">
        <f>ROUND(L7*0.1285,2)-0.01</f>
        <v>91650.700000000012</v>
      </c>
      <c r="P7" s="9">
        <f t="shared" ref="P7" si="21">ROUND((L7*0.07)*0.9,2)</f>
        <v>44933.81</v>
      </c>
      <c r="Q7" s="9">
        <f>ROUND(L7*0.01,2)+0.01</f>
        <v>7132.3600000000006</v>
      </c>
      <c r="R7" s="9">
        <f t="shared" ref="R7" si="22">ROUND((L7*0.0075)*0.9,2)</f>
        <v>4814.34</v>
      </c>
      <c r="S7" s="9">
        <f t="shared" ref="S7" si="23">ROUND((L7*0.0075)*0.9,2)</f>
        <v>4814.34</v>
      </c>
      <c r="T7" s="9">
        <f>ROUND(L7*0.02,2)+0.02</f>
        <v>14264.720000000001</v>
      </c>
      <c r="U7" s="9">
        <f t="shared" ref="U7" si="24">ROUND(L7*0,2)</f>
        <v>0</v>
      </c>
      <c r="V7" s="42">
        <f t="shared" ref="V7" si="25">E7/W7</f>
        <v>1744.0215727699563</v>
      </c>
      <c r="W7" s="10">
        <v>426</v>
      </c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</row>
    <row r="8" spans="1:96" ht="15" customHeight="1" x14ac:dyDescent="0.25">
      <c r="A8" s="8">
        <f>Mountaineer!A8</f>
        <v>44030</v>
      </c>
      <c r="B8" s="9">
        <v>9721093.4800000004</v>
      </c>
      <c r="C8" s="9">
        <v>8846236.4900000002</v>
      </c>
      <c r="D8" s="9">
        <v>81313</v>
      </c>
      <c r="E8" s="9">
        <f t="shared" ref="E8" si="26">B8-C8-D8</f>
        <v>793543.99000000022</v>
      </c>
      <c r="F8" s="9">
        <f>ROUND(E8*0.04,2)-0.01</f>
        <v>31741.75</v>
      </c>
      <c r="G8" s="9">
        <f t="shared" ref="G8" si="27">ROUND(E8*0,2)</f>
        <v>0</v>
      </c>
      <c r="H8" s="9">
        <f t="shared" ref="H8" si="28">E8-F8-G8</f>
        <v>761802.24000000022</v>
      </c>
      <c r="I8" s="9">
        <f t="shared" ref="I8" si="29">ROUND(H8*0,2)</f>
        <v>0</v>
      </c>
      <c r="J8" s="9">
        <f t="shared" ref="J8" si="30">ROUND((I8*0.58)+((I8*0.42)*0.1),2)</f>
        <v>0</v>
      </c>
      <c r="K8" s="9">
        <f t="shared" ref="K8" si="31">ROUND((I8*0.42)*0.9,2)</f>
        <v>0</v>
      </c>
      <c r="L8" s="69">
        <f t="shared" ref="L8" si="32">IF(J8+K8=I8,H8-I8,"ERROR")</f>
        <v>761802.24000000022</v>
      </c>
      <c r="M8" s="9">
        <f t="shared" ref="M8" si="33">ROUND(L8*0.465,2)</f>
        <v>354238.04</v>
      </c>
      <c r="N8" s="9">
        <f>ROUND(L8*0.3,2)</f>
        <v>228540.67</v>
      </c>
      <c r="O8" s="9">
        <f>ROUND(L8*0.1285,2)</f>
        <v>97891.59</v>
      </c>
      <c r="P8" s="9">
        <f t="shared" ref="P8" si="34">ROUND((L8*0.07)*0.9,2)</f>
        <v>47993.54</v>
      </c>
      <c r="Q8" s="9">
        <f>ROUND(L8*0.01,2)</f>
        <v>7618.02</v>
      </c>
      <c r="R8" s="9">
        <f t="shared" ref="R8" si="35">ROUND((L8*0.0075)*0.9,2)</f>
        <v>5142.17</v>
      </c>
      <c r="S8" s="9">
        <f t="shared" ref="S8" si="36">ROUND((L8*0.0075)*0.9,2)</f>
        <v>5142.17</v>
      </c>
      <c r="T8" s="9">
        <f>ROUND(L8*0.02,2)</f>
        <v>15236.04</v>
      </c>
      <c r="U8" s="9">
        <f t="shared" ref="U8" si="37">ROUND(L8*0,2)</f>
        <v>0</v>
      </c>
      <c r="V8" s="42">
        <f t="shared" ref="V8" si="38">E8/W8</f>
        <v>1767.3585523385307</v>
      </c>
      <c r="W8" s="10">
        <v>449</v>
      </c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</row>
    <row r="9" spans="1:96" ht="15" customHeight="1" x14ac:dyDescent="0.25">
      <c r="A9" s="8">
        <f>Mountaineer!A9</f>
        <v>44037</v>
      </c>
      <c r="B9" s="9">
        <v>8558884.6600000001</v>
      </c>
      <c r="C9" s="9">
        <v>7790133.4500000002</v>
      </c>
      <c r="D9" s="9">
        <v>80295</v>
      </c>
      <c r="E9" s="9">
        <f t="shared" ref="E9" si="39">B9-C9-D9</f>
        <v>688456.21</v>
      </c>
      <c r="F9" s="9">
        <f>ROUND(E9*0.04,2)</f>
        <v>27538.25</v>
      </c>
      <c r="G9" s="9">
        <f t="shared" ref="G9" si="40">ROUND(E9*0,2)</f>
        <v>0</v>
      </c>
      <c r="H9" s="9">
        <f t="shared" ref="H9" si="41">E9-F9-G9</f>
        <v>660917.96</v>
      </c>
      <c r="I9" s="9">
        <f t="shared" ref="I9" si="42">ROUND(H9*0,2)</f>
        <v>0</v>
      </c>
      <c r="J9" s="9">
        <f t="shared" ref="J9" si="43">ROUND((I9*0.58)+((I9*0.42)*0.1),2)</f>
        <v>0</v>
      </c>
      <c r="K9" s="9">
        <f t="shared" ref="K9" si="44">ROUND((I9*0.42)*0.9,2)</f>
        <v>0</v>
      </c>
      <c r="L9" s="69">
        <f t="shared" ref="L9" si="45">IF(J9+K9=I9,H9-I9,"ERROR")</f>
        <v>660917.96</v>
      </c>
      <c r="M9" s="9">
        <f t="shared" ref="M9" si="46">ROUND(L9*0.465,2)</f>
        <v>307326.84999999998</v>
      </c>
      <c r="N9" s="9">
        <f>ROUND(L9*0.3,2)+0.01</f>
        <v>198275.40000000002</v>
      </c>
      <c r="O9" s="9">
        <f>ROUND(L9*0.1285,2)-0.02</f>
        <v>84927.94</v>
      </c>
      <c r="P9" s="9">
        <f t="shared" ref="P9" si="47">ROUND((L9*0.07)*0.9,2)</f>
        <v>41637.83</v>
      </c>
      <c r="Q9" s="9">
        <f>ROUND(L9*0.01,2)</f>
        <v>6609.18</v>
      </c>
      <c r="R9" s="9">
        <f t="shared" ref="R9" si="48">ROUND((L9*0.0075)*0.9,2)</f>
        <v>4461.2</v>
      </c>
      <c r="S9" s="9">
        <f t="shared" ref="S9" si="49">ROUND((L9*0.0075)*0.9,2)</f>
        <v>4461.2</v>
      </c>
      <c r="T9" s="9">
        <f>ROUND(L9*0.02,2)</f>
        <v>13218.36</v>
      </c>
      <c r="U9" s="9">
        <f t="shared" ref="U9" si="50">ROUND(L9*0,2)</f>
        <v>0</v>
      </c>
      <c r="V9" s="42">
        <f t="shared" ref="V9" si="51">E9/W9</f>
        <v>1540.1704921700223</v>
      </c>
      <c r="W9" s="10">
        <v>447</v>
      </c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</row>
    <row r="10" spans="1:96" ht="15" customHeight="1" x14ac:dyDescent="0.25">
      <c r="A10" s="8">
        <f>Mountaineer!A10</f>
        <v>44044</v>
      </c>
      <c r="B10" s="9">
        <v>9755365.3100000005</v>
      </c>
      <c r="C10" s="9">
        <v>8840644.4399999995</v>
      </c>
      <c r="D10" s="9">
        <v>80184</v>
      </c>
      <c r="E10" s="9">
        <f t="shared" ref="E10" si="52">B10-C10-D10</f>
        <v>834536.87000000104</v>
      </c>
      <c r="F10" s="9">
        <f>ROUND(E10*0.04,2)+0.02</f>
        <v>33381.49</v>
      </c>
      <c r="G10" s="9">
        <f t="shared" ref="G10" si="53">ROUND(E10*0,2)</f>
        <v>0</v>
      </c>
      <c r="H10" s="9">
        <f t="shared" ref="H10" si="54">E10-F10-G10</f>
        <v>801155.38000000105</v>
      </c>
      <c r="I10" s="9">
        <f t="shared" ref="I10" si="55">ROUND(H10*0,2)</f>
        <v>0</v>
      </c>
      <c r="J10" s="9">
        <f t="shared" ref="J10" si="56">ROUND((I10*0.58)+((I10*0.42)*0.1),2)</f>
        <v>0</v>
      </c>
      <c r="K10" s="9">
        <f t="shared" ref="K10" si="57">ROUND((I10*0.42)*0.9,2)</f>
        <v>0</v>
      </c>
      <c r="L10" s="69">
        <f t="shared" ref="L10" si="58">IF(J10+K10=I10,H10-I10,"ERROR")</f>
        <v>801155.38000000105</v>
      </c>
      <c r="M10" s="9">
        <f t="shared" ref="M10" si="59">ROUND(L10*0.465,2)</f>
        <v>372537.25</v>
      </c>
      <c r="N10" s="9">
        <f>ROUND(L10*0.3,2)-0.04</f>
        <v>240346.56999999998</v>
      </c>
      <c r="O10" s="9">
        <f>ROUND(L10*0.1285,2)+0.02</f>
        <v>102948.49</v>
      </c>
      <c r="P10" s="9">
        <f t="shared" ref="P10" si="60">ROUND((L10*0.07)*0.9,2)</f>
        <v>50472.79</v>
      </c>
      <c r="Q10" s="9">
        <f>ROUND(L10*0.01,2)+0.01</f>
        <v>8011.56</v>
      </c>
      <c r="R10" s="9">
        <f t="shared" ref="R10" si="61">ROUND((L10*0.0075)*0.9,2)</f>
        <v>5407.8</v>
      </c>
      <c r="S10" s="9">
        <f t="shared" ref="S10" si="62">ROUND((L10*0.0075)*0.9,2)</f>
        <v>5407.8</v>
      </c>
      <c r="T10" s="9">
        <f>ROUND(L10*0.02,2)+0.01</f>
        <v>16023.12</v>
      </c>
      <c r="U10" s="9">
        <f t="shared" ref="U10" si="63">ROUND(L10*0,2)</f>
        <v>0</v>
      </c>
      <c r="V10" s="42">
        <f t="shared" ref="V10" si="64">E10/W10</f>
        <v>1838.1869383259934</v>
      </c>
      <c r="W10" s="10">
        <v>454</v>
      </c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</row>
    <row r="11" spans="1:96" ht="15" customHeight="1" x14ac:dyDescent="0.25">
      <c r="A11" s="8">
        <f>Mountaineer!A11</f>
        <v>44051</v>
      </c>
      <c r="B11" s="9">
        <v>9422548.5899999999</v>
      </c>
      <c r="C11" s="9">
        <v>8493519.8499999996</v>
      </c>
      <c r="D11" s="9">
        <v>74785</v>
      </c>
      <c r="E11" s="9">
        <f t="shared" ref="E11" si="65">B11-C11-D11</f>
        <v>854243.74000000022</v>
      </c>
      <c r="F11" s="9">
        <f>ROUND(E11*0.04,2)-0.01</f>
        <v>34169.74</v>
      </c>
      <c r="G11" s="9">
        <f t="shared" ref="G11" si="66">ROUND(E11*0,2)</f>
        <v>0</v>
      </c>
      <c r="H11" s="9">
        <f t="shared" ref="H11" si="67">E11-F11-G11</f>
        <v>820074.00000000023</v>
      </c>
      <c r="I11" s="9">
        <f t="shared" ref="I11" si="68">ROUND(H11*0,2)</f>
        <v>0</v>
      </c>
      <c r="J11" s="9">
        <f t="shared" ref="J11" si="69">ROUND((I11*0.58)+((I11*0.42)*0.1),2)</f>
        <v>0</v>
      </c>
      <c r="K11" s="9">
        <f t="shared" ref="K11" si="70">ROUND((I11*0.42)*0.9,2)</f>
        <v>0</v>
      </c>
      <c r="L11" s="69">
        <f t="shared" ref="L11" si="71">IF(J11+K11=I11,H11-I11,"ERROR")</f>
        <v>820074.00000000023</v>
      </c>
      <c r="M11" s="9">
        <f t="shared" ref="M11" si="72">ROUND(L11*0.465,2)</f>
        <v>381334.41</v>
      </c>
      <c r="N11" s="9">
        <f>ROUND(L11*0.3,2)-0.02</f>
        <v>246022.18000000002</v>
      </c>
      <c r="O11" s="9">
        <f>ROUND(L11*0.1285,2)+0.02</f>
        <v>105379.53</v>
      </c>
      <c r="P11" s="9">
        <f t="shared" ref="P11" si="73">ROUND((L11*0.07)*0.9,2)</f>
        <v>51664.66</v>
      </c>
      <c r="Q11" s="9">
        <f>ROUND(L11*0.01,2)</f>
        <v>8200.74</v>
      </c>
      <c r="R11" s="9">
        <f t="shared" ref="R11" si="74">ROUND((L11*0.0075)*0.9,2)</f>
        <v>5535.5</v>
      </c>
      <c r="S11" s="9">
        <f t="shared" ref="S11" si="75">ROUND((L11*0.0075)*0.9,2)</f>
        <v>5535.5</v>
      </c>
      <c r="T11" s="9">
        <f>ROUND(L11*0.02,2)</f>
        <v>16401.48</v>
      </c>
      <c r="U11" s="9">
        <f t="shared" ref="U11" si="76">ROUND(L11*0,2)</f>
        <v>0</v>
      </c>
      <c r="V11" s="42">
        <f t="shared" ref="V11" si="77">E11/W11</f>
        <v>1877.4587692307698</v>
      </c>
      <c r="W11" s="10">
        <v>455</v>
      </c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</row>
    <row r="12" spans="1:96" ht="15" customHeight="1" x14ac:dyDescent="0.25">
      <c r="A12" s="8">
        <f>Mountaineer!A12</f>
        <v>44058</v>
      </c>
      <c r="B12" s="9">
        <v>9754744.1699999999</v>
      </c>
      <c r="C12" s="9">
        <v>8925498.1500000004</v>
      </c>
      <c r="D12" s="9">
        <v>76884</v>
      </c>
      <c r="E12" s="9">
        <f t="shared" ref="E12" si="78">B12-C12-D12</f>
        <v>752362.01999999955</v>
      </c>
      <c r="F12" s="9">
        <f>ROUND(E12*0.04,2)</f>
        <v>30094.48</v>
      </c>
      <c r="G12" s="9">
        <f t="shared" ref="G12" si="79">ROUND(E12*0,2)</f>
        <v>0</v>
      </c>
      <c r="H12" s="9">
        <f t="shared" ref="H12" si="80">E12-F12-G12</f>
        <v>722267.53999999957</v>
      </c>
      <c r="I12" s="9">
        <f t="shared" ref="I12" si="81">ROUND(H12*0,2)</f>
        <v>0</v>
      </c>
      <c r="J12" s="9">
        <f t="shared" ref="J12" si="82">ROUND((I12*0.58)+((I12*0.42)*0.1),2)</f>
        <v>0</v>
      </c>
      <c r="K12" s="9">
        <f t="shared" ref="K12" si="83">ROUND((I12*0.42)*0.9,2)</f>
        <v>0</v>
      </c>
      <c r="L12" s="69">
        <f t="shared" ref="L12" si="84">IF(J12+K12=I12,H12-I12,"ERROR")</f>
        <v>722267.53999999957</v>
      </c>
      <c r="M12" s="9">
        <f t="shared" ref="M12" si="85">ROUND(L12*0.465,2)</f>
        <v>335854.41</v>
      </c>
      <c r="N12" s="9">
        <f>ROUND(L12*0.3,2)-0.04</f>
        <v>216680.22</v>
      </c>
      <c r="O12" s="9">
        <f>ROUND(L12*0.1285,2)+0.01</f>
        <v>92811.39</v>
      </c>
      <c r="P12" s="9">
        <f t="shared" ref="P12" si="86">ROUND((L12*0.07)*0.9,2)</f>
        <v>45502.86</v>
      </c>
      <c r="Q12" s="9">
        <f>ROUND(L12*0.01,2)</f>
        <v>7222.68</v>
      </c>
      <c r="R12" s="9">
        <f t="shared" ref="R12" si="87">ROUND((L12*0.0075)*0.9,2)</f>
        <v>4875.3100000000004</v>
      </c>
      <c r="S12" s="9">
        <f t="shared" ref="S12" si="88">ROUND((L12*0.0075)*0.9,2)</f>
        <v>4875.3100000000004</v>
      </c>
      <c r="T12" s="9">
        <f>ROUND(L12*0.02,2)+0.01</f>
        <v>14445.36</v>
      </c>
      <c r="U12" s="9">
        <f t="shared" ref="U12" si="89">ROUND(L12*0,2)</f>
        <v>0</v>
      </c>
      <c r="V12" s="42">
        <f t="shared" ref="V12" si="90">E12/W12</f>
        <v>1529.1910975609746</v>
      </c>
      <c r="W12" s="10">
        <v>492</v>
      </c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</row>
    <row r="13" spans="1:96" ht="15" customHeight="1" x14ac:dyDescent="0.25">
      <c r="A13" s="8">
        <f>Mountaineer!A13</f>
        <v>44065</v>
      </c>
      <c r="B13" s="9">
        <v>9062500.5199999996</v>
      </c>
      <c r="C13" s="9">
        <v>8196089.0599999996</v>
      </c>
      <c r="D13" s="9">
        <v>69271</v>
      </c>
      <c r="E13" s="9">
        <f t="shared" ref="E13" si="91">B13-C13-D13</f>
        <v>797140.46</v>
      </c>
      <c r="F13" s="9">
        <f>ROUND(E13*0.04,2)-0.01</f>
        <v>31885.61</v>
      </c>
      <c r="G13" s="9">
        <f t="shared" ref="G13" si="92">ROUND(E13*0,2)</f>
        <v>0</v>
      </c>
      <c r="H13" s="9">
        <f t="shared" ref="H13" si="93">E13-F13-G13</f>
        <v>765254.85</v>
      </c>
      <c r="I13" s="9">
        <f t="shared" ref="I13" si="94">ROUND(H13*0,2)</f>
        <v>0</v>
      </c>
      <c r="J13" s="9">
        <f t="shared" ref="J13" si="95">ROUND((I13*0.58)+((I13*0.42)*0.1),2)</f>
        <v>0</v>
      </c>
      <c r="K13" s="9">
        <f t="shared" ref="K13" si="96">ROUND((I13*0.42)*0.9,2)</f>
        <v>0</v>
      </c>
      <c r="L13" s="69">
        <f t="shared" ref="L13" si="97">IF(J13+K13=I13,H13-I13,"ERROR")</f>
        <v>765254.85</v>
      </c>
      <c r="M13" s="9">
        <f t="shared" ref="M13" si="98">ROUND(L13*0.465,2)</f>
        <v>355843.51</v>
      </c>
      <c r="N13" s="9">
        <f>ROUND(L13*0.3,2)+0.04</f>
        <v>229576.5</v>
      </c>
      <c r="O13" s="9">
        <f>ROUND(L13*0.1285,2)-0.03</f>
        <v>98335.22</v>
      </c>
      <c r="P13" s="9">
        <f t="shared" ref="P13" si="99">ROUND((L13*0.07)*0.9,2)</f>
        <v>48211.06</v>
      </c>
      <c r="Q13" s="9">
        <f>ROUND(L13*0.01,2)-0.01</f>
        <v>7652.54</v>
      </c>
      <c r="R13" s="9">
        <f t="shared" ref="R13" si="100">ROUND((L13*0.0075)*0.9,2)</f>
        <v>5165.47</v>
      </c>
      <c r="S13" s="9">
        <f t="shared" ref="S13" si="101">ROUND((L13*0.0075)*0.9,2)</f>
        <v>5165.47</v>
      </c>
      <c r="T13" s="9">
        <f>ROUND(L13*0.02,2)-0.02</f>
        <v>15305.08</v>
      </c>
      <c r="U13" s="9">
        <f t="shared" ref="U13" si="102">ROUND(L13*0,2)</f>
        <v>0</v>
      </c>
      <c r="V13" s="42">
        <f t="shared" ref="V13" si="103">E13/W13</f>
        <v>1594.2809199999999</v>
      </c>
      <c r="W13" s="10">
        <v>500</v>
      </c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</row>
    <row r="14" spans="1:96" ht="15" customHeight="1" x14ac:dyDescent="0.25">
      <c r="A14" s="8">
        <f>Mountaineer!A14</f>
        <v>44072</v>
      </c>
      <c r="B14" s="9">
        <v>9158433.5800000001</v>
      </c>
      <c r="C14" s="9">
        <v>8273001.5999999996</v>
      </c>
      <c r="D14" s="9">
        <v>69865</v>
      </c>
      <c r="E14" s="9">
        <f t="shared" ref="E14" si="104">B14-C14-D14</f>
        <v>815566.98000000045</v>
      </c>
      <c r="F14" s="9">
        <f>ROUND(E14*0.04,2)-0.01</f>
        <v>32622.670000000002</v>
      </c>
      <c r="G14" s="9">
        <f t="shared" ref="G14" si="105">ROUND(E14*0,2)</f>
        <v>0</v>
      </c>
      <c r="H14" s="9">
        <f t="shared" ref="H14" si="106">E14-F14-G14</f>
        <v>782944.31000000041</v>
      </c>
      <c r="I14" s="9">
        <f t="shared" ref="I14" si="107">ROUND(H14*0,2)</f>
        <v>0</v>
      </c>
      <c r="J14" s="9">
        <f t="shared" ref="J14" si="108">ROUND((I14*0.58)+((I14*0.42)*0.1),2)</f>
        <v>0</v>
      </c>
      <c r="K14" s="9">
        <f t="shared" ref="K14" si="109">ROUND((I14*0.42)*0.9,2)</f>
        <v>0</v>
      </c>
      <c r="L14" s="69">
        <f t="shared" ref="L14" si="110">IF(J14+K14=I14,H14-I14,"ERROR")</f>
        <v>782944.31000000041</v>
      </c>
      <c r="M14" s="9">
        <f t="shared" ref="M14" si="111">ROUND(L14*0.465,2)</f>
        <v>364069.1</v>
      </c>
      <c r="N14" s="9">
        <f>ROUND(L14*0.3,2)+0.04</f>
        <v>234883.33000000002</v>
      </c>
      <c r="O14" s="9">
        <f>ROUND(L14*0.1285,2)-0.01</f>
        <v>100608.33</v>
      </c>
      <c r="P14" s="9">
        <f t="shared" ref="P14" si="112">ROUND((L14*0.07)*0.9,2)</f>
        <v>49325.49</v>
      </c>
      <c r="Q14" s="9">
        <f>ROUND(L14*0.01,2)</f>
        <v>7829.44</v>
      </c>
      <c r="R14" s="9">
        <f t="shared" ref="R14" si="113">ROUND((L14*0.0075)*0.9,2)</f>
        <v>5284.87</v>
      </c>
      <c r="S14" s="9">
        <f t="shared" ref="S14" si="114">ROUND((L14*0.0075)*0.9,2)</f>
        <v>5284.87</v>
      </c>
      <c r="T14" s="9">
        <f>ROUND(L14*0.02,2)-0.01</f>
        <v>15658.88</v>
      </c>
      <c r="U14" s="9">
        <f t="shared" ref="U14" si="115">ROUND(L14*0,2)</f>
        <v>0</v>
      </c>
      <c r="V14" s="42">
        <f t="shared" ref="V14" si="116">E14/W14</f>
        <v>1637.6846987951817</v>
      </c>
      <c r="W14" s="10">
        <v>498</v>
      </c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</row>
    <row r="15" spans="1:96" ht="15" customHeight="1" x14ac:dyDescent="0.25">
      <c r="A15" s="8">
        <f>Mountaineer!A15</f>
        <v>44079</v>
      </c>
      <c r="B15" s="9">
        <v>9527946.8200000003</v>
      </c>
      <c r="C15" s="9">
        <v>8683253.4000000004</v>
      </c>
      <c r="D15" s="9">
        <v>72077</v>
      </c>
      <c r="E15" s="9">
        <f t="shared" ref="E15" si="117">B15-C15-D15</f>
        <v>772616.41999999993</v>
      </c>
      <c r="F15" s="9">
        <f>ROUND(E15*0.04,2)</f>
        <v>30904.66</v>
      </c>
      <c r="G15" s="9">
        <f t="shared" ref="G15" si="118">ROUND(E15*0,2)</f>
        <v>0</v>
      </c>
      <c r="H15" s="9">
        <f t="shared" ref="H15" si="119">E15-F15-G15</f>
        <v>741711.75999999989</v>
      </c>
      <c r="I15" s="9">
        <f t="shared" ref="I15" si="120">ROUND(H15*0,2)</f>
        <v>0</v>
      </c>
      <c r="J15" s="9">
        <f t="shared" ref="J15" si="121">ROUND((I15*0.58)+((I15*0.42)*0.1),2)</f>
        <v>0</v>
      </c>
      <c r="K15" s="9">
        <f t="shared" ref="K15" si="122">ROUND((I15*0.42)*0.9,2)</f>
        <v>0</v>
      </c>
      <c r="L15" s="69">
        <f t="shared" ref="L15" si="123">IF(J15+K15=I15,H15-I15,"ERROR")</f>
        <v>741711.75999999989</v>
      </c>
      <c r="M15" s="9">
        <f t="shared" ref="M15" si="124">ROUND(L15*0.465,2)</f>
        <v>344895.97</v>
      </c>
      <c r="N15" s="9">
        <f>ROUND(L15*0.3,2)-0.02</f>
        <v>222513.51</v>
      </c>
      <c r="O15" s="9">
        <f>ROUND(L15*0.1285,2)+0.02</f>
        <v>95309.98000000001</v>
      </c>
      <c r="P15" s="9">
        <f t="shared" ref="P15" si="125">ROUND((L15*0.07)*0.9,2)</f>
        <v>46727.839999999997</v>
      </c>
      <c r="Q15" s="9">
        <f>ROUND(L15*0.01,2)</f>
        <v>7417.12</v>
      </c>
      <c r="R15" s="9">
        <f t="shared" ref="R15" si="126">ROUND((L15*0.0075)*0.9,2)</f>
        <v>5006.55</v>
      </c>
      <c r="S15" s="9">
        <f t="shared" ref="S15" si="127">ROUND((L15*0.0075)*0.9,2)</f>
        <v>5006.55</v>
      </c>
      <c r="T15" s="9">
        <f>ROUND(L15*0.02,2)</f>
        <v>14834.24</v>
      </c>
      <c r="U15" s="9">
        <f t="shared" ref="U15" si="128">ROUND(L15*0,2)</f>
        <v>0</v>
      </c>
      <c r="V15" s="42">
        <f t="shared" ref="V15" si="129">E15/W15</f>
        <v>1545.2328399999999</v>
      </c>
      <c r="W15" s="10">
        <v>500</v>
      </c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</row>
    <row r="16" spans="1:96" ht="15" customHeight="1" x14ac:dyDescent="0.25">
      <c r="A16" s="8">
        <f>Mountaineer!A16</f>
        <v>44086</v>
      </c>
      <c r="B16" s="9">
        <v>10054938.289999999</v>
      </c>
      <c r="C16" s="9">
        <v>9100029.8200000003</v>
      </c>
      <c r="D16" s="9">
        <v>79449</v>
      </c>
      <c r="E16" s="9">
        <f t="shared" ref="E16" si="130">B16-C16-D16</f>
        <v>875459.46999999881</v>
      </c>
      <c r="F16" s="9">
        <f>ROUND(E16*0.04,2)</f>
        <v>35018.379999999997</v>
      </c>
      <c r="G16" s="9">
        <f t="shared" ref="G16" si="131">ROUND(E16*0,2)</f>
        <v>0</v>
      </c>
      <c r="H16" s="9">
        <f t="shared" ref="H16" si="132">E16-F16-G16</f>
        <v>840441.0899999988</v>
      </c>
      <c r="I16" s="9">
        <f t="shared" ref="I16" si="133">ROUND(H16*0,2)</f>
        <v>0</v>
      </c>
      <c r="J16" s="9">
        <f t="shared" ref="J16" si="134">ROUND((I16*0.58)+((I16*0.42)*0.1),2)</f>
        <v>0</v>
      </c>
      <c r="K16" s="9">
        <f t="shared" ref="K16" si="135">ROUND((I16*0.42)*0.9,2)</f>
        <v>0</v>
      </c>
      <c r="L16" s="69">
        <f t="shared" ref="L16" si="136">IF(J16+K16=I16,H16-I16,"ERROR")</f>
        <v>840441.0899999988</v>
      </c>
      <c r="M16" s="9">
        <f t="shared" ref="M16" si="137">ROUND(L16*0.465,2)</f>
        <v>390805.11</v>
      </c>
      <c r="N16" s="9">
        <f>ROUND(L16*0.3,2)-0.06</f>
        <v>252132.27</v>
      </c>
      <c r="O16" s="9">
        <f>ROUND(L16*0.1285,2)+0.02</f>
        <v>107996.7</v>
      </c>
      <c r="P16" s="9">
        <f t="shared" ref="P16" si="138">ROUND((L16*0.07)*0.9,2)</f>
        <v>52947.79</v>
      </c>
      <c r="Q16" s="9">
        <f>ROUND(L16*0.01,2)+0.01</f>
        <v>8404.42</v>
      </c>
      <c r="R16" s="9">
        <f t="shared" ref="R16" si="139">ROUND((L16*0.0075)*0.9,2)</f>
        <v>5672.98</v>
      </c>
      <c r="S16" s="9">
        <f t="shared" ref="S16" si="140">ROUND((L16*0.0075)*0.9,2)</f>
        <v>5672.98</v>
      </c>
      <c r="T16" s="9">
        <f>ROUND(L16*0.02,2)+0.02</f>
        <v>16808.84</v>
      </c>
      <c r="U16" s="9">
        <f t="shared" ref="U16" si="141">ROUND(L16*0,2)</f>
        <v>0</v>
      </c>
      <c r="V16" s="42">
        <f t="shared" ref="V16" si="142">E16/W16</f>
        <v>1723.3454133858245</v>
      </c>
      <c r="W16" s="10">
        <v>508</v>
      </c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</row>
    <row r="17" spans="1:96" ht="15" customHeight="1" x14ac:dyDescent="0.25">
      <c r="A17" s="8">
        <f>Mountaineer!A17</f>
        <v>44093</v>
      </c>
      <c r="B17" s="9">
        <v>8912186.4600000009</v>
      </c>
      <c r="C17" s="9">
        <v>8095704.0999999996</v>
      </c>
      <c r="D17" s="9">
        <v>70480</v>
      </c>
      <c r="E17" s="9">
        <f t="shared" ref="E17" si="143">B17-C17-D17</f>
        <v>746002.36000000127</v>
      </c>
      <c r="F17" s="9">
        <f>ROUND(E17*0.04,2)+0.01</f>
        <v>29840.1</v>
      </c>
      <c r="G17" s="9">
        <f t="shared" ref="G17" si="144">ROUND(E17*0,2)</f>
        <v>0</v>
      </c>
      <c r="H17" s="9">
        <f t="shared" ref="H17" si="145">E17-F17-G17</f>
        <v>716162.26000000129</v>
      </c>
      <c r="I17" s="9">
        <f t="shared" ref="I17" si="146">ROUND(H17*0,2)</f>
        <v>0</v>
      </c>
      <c r="J17" s="9">
        <f t="shared" ref="J17" si="147">ROUND((I17*0.58)+((I17*0.42)*0.1),2)</f>
        <v>0</v>
      </c>
      <c r="K17" s="9">
        <f t="shared" ref="K17" si="148">ROUND((I17*0.42)*0.9,2)</f>
        <v>0</v>
      </c>
      <c r="L17" s="69">
        <f t="shared" ref="L17" si="149">IF(J17+K17=I17,H17-I17,"ERROR")</f>
        <v>716162.26000000129</v>
      </c>
      <c r="M17" s="9">
        <f t="shared" ref="M17" si="150">ROUND(L17*0.465,2)</f>
        <v>333015.45</v>
      </c>
      <c r="N17" s="9">
        <f>ROUND(L17*0.3,2)</f>
        <v>214848.68</v>
      </c>
      <c r="O17" s="9">
        <f>ROUND(L17*0.1285,2)</f>
        <v>92026.85</v>
      </c>
      <c r="P17" s="9">
        <f t="shared" ref="P17" si="151">ROUND((L17*0.07)*0.9,2)</f>
        <v>45118.22</v>
      </c>
      <c r="Q17" s="9">
        <f>ROUND(L17*0.01,2)</f>
        <v>7161.62</v>
      </c>
      <c r="R17" s="9">
        <f t="shared" ref="R17" si="152">ROUND((L17*0.0075)*0.9,2)</f>
        <v>4834.1000000000004</v>
      </c>
      <c r="S17" s="9">
        <f t="shared" ref="S17" si="153">ROUND((L17*0.0075)*0.9,2)</f>
        <v>4834.1000000000004</v>
      </c>
      <c r="T17" s="9">
        <f>ROUND(L17*0.02,2)-0.01</f>
        <v>14323.24</v>
      </c>
      <c r="U17" s="9">
        <f t="shared" ref="U17" si="154">ROUND(L17*0,2)</f>
        <v>0</v>
      </c>
      <c r="V17" s="42">
        <f t="shared" ref="V17" si="155">E17/W17</f>
        <v>1451.3664591439713</v>
      </c>
      <c r="W17" s="10">
        <v>514</v>
      </c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</row>
    <row r="18" spans="1:96" ht="15" customHeight="1" x14ac:dyDescent="0.25">
      <c r="A18" s="8">
        <f>Mountaineer!A18</f>
        <v>44100</v>
      </c>
      <c r="B18" s="9">
        <v>9112501.0099999998</v>
      </c>
      <c r="C18" s="9">
        <v>8363701.5199999996</v>
      </c>
      <c r="D18" s="9">
        <v>70194</v>
      </c>
      <c r="E18" s="9">
        <f t="shared" ref="E18" si="156">B18-C18-D18</f>
        <v>678605.49000000022</v>
      </c>
      <c r="F18" s="9">
        <f>ROUND(E18*0.04,2)</f>
        <v>27144.22</v>
      </c>
      <c r="G18" s="9">
        <f t="shared" ref="G18" si="157">ROUND(E18*0,2)</f>
        <v>0</v>
      </c>
      <c r="H18" s="9">
        <f t="shared" ref="H18" si="158">E18-F18-G18</f>
        <v>651461.27000000025</v>
      </c>
      <c r="I18" s="9">
        <f t="shared" ref="I18" si="159">ROUND(H18*0,2)</f>
        <v>0</v>
      </c>
      <c r="J18" s="9">
        <f t="shared" ref="J18" si="160">ROUND((I18*0.58)+((I18*0.42)*0.1),2)</f>
        <v>0</v>
      </c>
      <c r="K18" s="9">
        <f t="shared" ref="K18" si="161">ROUND((I18*0.42)*0.9,2)</f>
        <v>0</v>
      </c>
      <c r="L18" s="69">
        <f t="shared" ref="L18" si="162">IF(J18+K18=I18,H18-I18,"ERROR")</f>
        <v>651461.27000000025</v>
      </c>
      <c r="M18" s="9">
        <f t="shared" ref="M18" si="163">ROUND(L18*0.465,2)</f>
        <v>302929.49</v>
      </c>
      <c r="N18" s="9">
        <f>ROUND(L18*0.3,2)-0.04</f>
        <v>195438.34</v>
      </c>
      <c r="O18" s="9">
        <f>ROUND(L18*0.1285,2)+0.03</f>
        <v>83712.800000000003</v>
      </c>
      <c r="P18" s="9">
        <f t="shared" ref="P18" si="164">ROUND((L18*0.07)*0.9,2)</f>
        <v>41042.06</v>
      </c>
      <c r="Q18" s="9">
        <f>ROUND(L18*0.01,2)+0.01</f>
        <v>6514.62</v>
      </c>
      <c r="R18" s="9">
        <f t="shared" ref="R18" si="165">ROUND((L18*0.0075)*0.9,2)</f>
        <v>4397.3599999999997</v>
      </c>
      <c r="S18" s="9">
        <f t="shared" ref="S18" si="166">ROUND((L18*0.0075)*0.9,2)</f>
        <v>4397.3599999999997</v>
      </c>
      <c r="T18" s="9">
        <f>ROUND(L18*0.02,2)+0.01</f>
        <v>13029.24</v>
      </c>
      <c r="U18" s="9">
        <f t="shared" ref="U18" si="167">ROUND(L18*0,2)</f>
        <v>0</v>
      </c>
      <c r="V18" s="42">
        <f t="shared" ref="V18" si="168">E18/W18</f>
        <v>1338.4723668639058</v>
      </c>
      <c r="W18" s="10">
        <v>507</v>
      </c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</row>
    <row r="19" spans="1:96" ht="15" customHeight="1" x14ac:dyDescent="0.25">
      <c r="A19" s="8">
        <f>Mountaineer!A19</f>
        <v>44107</v>
      </c>
      <c r="B19" s="9">
        <v>9827934.8900000006</v>
      </c>
      <c r="C19" s="9">
        <v>8888268.1899999995</v>
      </c>
      <c r="D19" s="9">
        <v>84845</v>
      </c>
      <c r="E19" s="9">
        <f t="shared" ref="E19" si="169">B19-C19-D19</f>
        <v>854821.70000000112</v>
      </c>
      <c r="F19" s="9">
        <f>ROUND(E19*0.04,2)</f>
        <v>34192.870000000003</v>
      </c>
      <c r="G19" s="9">
        <f t="shared" ref="G19" si="170">ROUND(E19*0,2)</f>
        <v>0</v>
      </c>
      <c r="H19" s="9">
        <f t="shared" ref="H19" si="171">E19-F19-G19</f>
        <v>820628.83000000112</v>
      </c>
      <c r="I19" s="9">
        <f t="shared" ref="I19" si="172">ROUND(H19*0,2)</f>
        <v>0</v>
      </c>
      <c r="J19" s="9">
        <f t="shared" ref="J19" si="173">ROUND((I19*0.58)+((I19*0.42)*0.1),2)</f>
        <v>0</v>
      </c>
      <c r="K19" s="9">
        <f t="shared" ref="K19" si="174">ROUND((I19*0.42)*0.9,2)</f>
        <v>0</v>
      </c>
      <c r="L19" s="69">
        <f t="shared" ref="L19" si="175">IF(J19+K19=I19,H19-I19,"ERROR")</f>
        <v>820628.83000000112</v>
      </c>
      <c r="M19" s="9">
        <f t="shared" ref="M19" si="176">ROUND(L19*0.465,2)</f>
        <v>381592.41</v>
      </c>
      <c r="N19" s="9">
        <f>ROUND(L19*0.3,2)+0.03</f>
        <v>246188.68</v>
      </c>
      <c r="O19" s="9">
        <f>ROUND(L19*0.1285,2)</f>
        <v>105450.8</v>
      </c>
      <c r="P19" s="9">
        <f t="shared" ref="P19" si="177">ROUND((L19*0.07)*0.9,2)</f>
        <v>51699.62</v>
      </c>
      <c r="Q19" s="9">
        <f>ROUND(L19*0.01,2)-0.01</f>
        <v>8206.2800000000007</v>
      </c>
      <c r="R19" s="9">
        <f t="shared" ref="R19" si="178">ROUND((L19*0.0075)*0.9,2)</f>
        <v>5539.24</v>
      </c>
      <c r="S19" s="9">
        <f t="shared" ref="S19" si="179">ROUND((L19*0.0075)*0.9,2)</f>
        <v>5539.24</v>
      </c>
      <c r="T19" s="9">
        <f>ROUND(L19*0.02,2)-0.02</f>
        <v>16412.560000000001</v>
      </c>
      <c r="U19" s="9">
        <f t="shared" ref="U19" si="180">ROUND(L19*0,2)</f>
        <v>0</v>
      </c>
      <c r="V19" s="42">
        <f t="shared" ref="V19" si="181">E19/W19</f>
        <v>1663.0772373540879</v>
      </c>
      <c r="W19" s="10">
        <v>514</v>
      </c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</row>
    <row r="20" spans="1:96" ht="15" customHeight="1" x14ac:dyDescent="0.25">
      <c r="A20" s="8">
        <f>Mountaineer!A20</f>
        <v>44114</v>
      </c>
      <c r="B20" s="9">
        <v>8961485.4800000004</v>
      </c>
      <c r="C20" s="9">
        <v>8154413.6900000004</v>
      </c>
      <c r="D20" s="9">
        <v>75943</v>
      </c>
      <c r="E20" s="9">
        <f t="shared" ref="E20" si="182">B20-C20-D20</f>
        <v>731128.79</v>
      </c>
      <c r="F20" s="9">
        <f>ROUND(E20*0.04,2)</f>
        <v>29245.15</v>
      </c>
      <c r="G20" s="9">
        <f t="shared" ref="G20" si="183">ROUND(E20*0,2)</f>
        <v>0</v>
      </c>
      <c r="H20" s="9">
        <f t="shared" ref="H20" si="184">E20-F20-G20</f>
        <v>701883.64</v>
      </c>
      <c r="I20" s="9">
        <f t="shared" ref="I20" si="185">ROUND(H20*0,2)</f>
        <v>0</v>
      </c>
      <c r="J20" s="9">
        <f t="shared" ref="J20" si="186">ROUND((I20*0.58)+((I20*0.42)*0.1),2)</f>
        <v>0</v>
      </c>
      <c r="K20" s="9">
        <f t="shared" ref="K20" si="187">ROUND((I20*0.42)*0.9,2)</f>
        <v>0</v>
      </c>
      <c r="L20" s="69">
        <f t="shared" ref="L20" si="188">IF(J20+K20=I20,H20-I20,"ERROR")</f>
        <v>701883.64</v>
      </c>
      <c r="M20" s="9">
        <f t="shared" ref="M20" si="189">ROUND(L20*0.465,2)</f>
        <v>326375.89</v>
      </c>
      <c r="N20" s="9">
        <f>ROUND(L20*0.3,2)-0.01</f>
        <v>210565.08</v>
      </c>
      <c r="O20" s="9">
        <f>ROUND(L20*0.1285,2)+0.01</f>
        <v>90192.06</v>
      </c>
      <c r="P20" s="9">
        <f t="shared" ref="P20:P25" si="190">ROUND((L20*0.07)*0.9,2)</f>
        <v>44218.67</v>
      </c>
      <c r="Q20" s="9">
        <f>ROUND(L20*0.01,2)</f>
        <v>7018.84</v>
      </c>
      <c r="R20" s="9">
        <f t="shared" ref="R20" si="191">ROUND((L20*0.0075)*0.9,2)</f>
        <v>4737.71</v>
      </c>
      <c r="S20" s="9">
        <f t="shared" ref="S20" si="192">ROUND((L20*0.0075)*0.9,2)</f>
        <v>4737.71</v>
      </c>
      <c r="T20" s="9">
        <f>ROUND(L20*0.02,2)+0.01</f>
        <v>14037.68</v>
      </c>
      <c r="U20" s="9">
        <f t="shared" ref="U20" si="193">ROUND(L20*0,2)</f>
        <v>0</v>
      </c>
      <c r="V20" s="42">
        <f t="shared" ref="V20" si="194">E20/W20</f>
        <v>1425.2023196881091</v>
      </c>
      <c r="W20" s="10">
        <v>513</v>
      </c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</row>
    <row r="21" spans="1:96" ht="15" customHeight="1" x14ac:dyDescent="0.25">
      <c r="A21" s="8">
        <f>Mountaineer!A21</f>
        <v>44121</v>
      </c>
      <c r="B21" s="9">
        <v>9170502.5</v>
      </c>
      <c r="C21" s="9">
        <v>8312852.8399999999</v>
      </c>
      <c r="D21" s="9">
        <v>82507</v>
      </c>
      <c r="E21" s="9">
        <f t="shared" ref="E21" si="195">B21-C21-D21</f>
        <v>775142.66000000015</v>
      </c>
      <c r="F21" s="9">
        <f>ROUND(E21*0.04,2)+0.01</f>
        <v>31005.719999999998</v>
      </c>
      <c r="G21" s="9">
        <f t="shared" ref="G21" si="196">ROUND(E21*0,2)</f>
        <v>0</v>
      </c>
      <c r="H21" s="9">
        <f t="shared" ref="H21" si="197">E21-F21-G21</f>
        <v>744136.94000000018</v>
      </c>
      <c r="I21" s="9">
        <f t="shared" ref="I21" si="198">ROUND(H21*0,2)</f>
        <v>0</v>
      </c>
      <c r="J21" s="9">
        <f t="shared" ref="J21" si="199">ROUND((I21*0.58)+((I21*0.42)*0.1),2)</f>
        <v>0</v>
      </c>
      <c r="K21" s="9">
        <f t="shared" ref="K21" si="200">ROUND((I21*0.42)*0.9,2)</f>
        <v>0</v>
      </c>
      <c r="L21" s="69">
        <f t="shared" ref="L21" si="201">IF(J21+K21=I21,H21-I21,"ERROR")</f>
        <v>744136.94000000018</v>
      </c>
      <c r="M21" s="9">
        <f t="shared" ref="M21" si="202">ROUND(L21*0.465,2)</f>
        <v>346023.67999999999</v>
      </c>
      <c r="N21" s="9">
        <f>ROUND(L21*0.3,2)+0.04</f>
        <v>223241.12</v>
      </c>
      <c r="O21" s="9">
        <f>ROUND(L21*0.1285,2)-0.01</f>
        <v>95621.590000000011</v>
      </c>
      <c r="P21" s="9">
        <f t="shared" si="190"/>
        <v>46880.63</v>
      </c>
      <c r="Q21" s="9">
        <f>ROUND(L21*0.01,2)-0.01</f>
        <v>7441.36</v>
      </c>
      <c r="R21" s="9">
        <f t="shared" ref="R21" si="203">ROUND((L21*0.0075)*0.9,2)</f>
        <v>5022.92</v>
      </c>
      <c r="S21" s="9">
        <f t="shared" ref="S21" si="204">ROUND((L21*0.0075)*0.9,2)</f>
        <v>5022.92</v>
      </c>
      <c r="T21" s="9">
        <f>ROUND(L21*0.02,2)-0.02</f>
        <v>14882.72</v>
      </c>
      <c r="U21" s="9">
        <f t="shared" ref="U21" si="205">ROUND(L21*0,2)</f>
        <v>0</v>
      </c>
      <c r="V21" s="42">
        <f t="shared" ref="V21" si="206">E21/W21</f>
        <v>1508.0596498054479</v>
      </c>
      <c r="W21" s="10">
        <v>514</v>
      </c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</row>
    <row r="22" spans="1:96" ht="15" customHeight="1" x14ac:dyDescent="0.25">
      <c r="A22" s="8">
        <f>Mountaineer!A22</f>
        <v>44128</v>
      </c>
      <c r="B22" s="9">
        <v>8545817.4499999993</v>
      </c>
      <c r="C22" s="9">
        <v>7720466.1799999997</v>
      </c>
      <c r="D22" s="9">
        <v>78576</v>
      </c>
      <c r="E22" s="9">
        <f t="shared" ref="E22" si="207">B22-C22-D22</f>
        <v>746775.26999999955</v>
      </c>
      <c r="F22" s="9">
        <f>ROUND(E22*0.04,2)+0.01</f>
        <v>29871.019999999997</v>
      </c>
      <c r="G22" s="9">
        <f t="shared" ref="G22" si="208">ROUND(E22*0,2)</f>
        <v>0</v>
      </c>
      <c r="H22" s="9">
        <f t="shared" ref="H22" si="209">E22-F22-G22</f>
        <v>716904.24999999953</v>
      </c>
      <c r="I22" s="9">
        <f t="shared" ref="I22" si="210">ROUND(H22*0,2)</f>
        <v>0</v>
      </c>
      <c r="J22" s="9">
        <f t="shared" ref="J22" si="211">ROUND((I22*0.58)+((I22*0.42)*0.1),2)</f>
        <v>0</v>
      </c>
      <c r="K22" s="9">
        <f t="shared" ref="K22" si="212">ROUND((I22*0.42)*0.9,2)</f>
        <v>0</v>
      </c>
      <c r="L22" s="69">
        <f t="shared" ref="L22" si="213">IF(J22+K22=I22,H22-I22,"ERROR")</f>
        <v>716904.24999999953</v>
      </c>
      <c r="M22" s="9">
        <f t="shared" ref="M22" si="214">ROUND(L22*0.465,2)</f>
        <v>333360.48</v>
      </c>
      <c r="N22" s="9">
        <f>ROUND(L22*0.3,2)</f>
        <v>215071.28</v>
      </c>
      <c r="O22" s="9">
        <f>ROUND(L22*0.1285,2)</f>
        <v>92122.2</v>
      </c>
      <c r="P22" s="9">
        <f t="shared" si="190"/>
        <v>45164.97</v>
      </c>
      <c r="Q22" s="9">
        <f>ROUND(L22*0.01,2)</f>
        <v>7169.04</v>
      </c>
      <c r="R22" s="9">
        <f t="shared" ref="R22" si="215">ROUND((L22*0.0075)*0.9,2)</f>
        <v>4839.1000000000004</v>
      </c>
      <c r="S22" s="9">
        <f t="shared" ref="S22" si="216">ROUND((L22*0.0075)*0.9,2)</f>
        <v>4839.1000000000004</v>
      </c>
      <c r="T22" s="9">
        <f>ROUND(L22*0.02,2)-0.01</f>
        <v>14338.08</v>
      </c>
      <c r="U22" s="9">
        <f t="shared" ref="U22" si="217">ROUND(L22*0,2)</f>
        <v>0</v>
      </c>
      <c r="V22" s="42">
        <f t="shared" ref="V22" si="218">E22/W22</f>
        <v>1458.5454492187491</v>
      </c>
      <c r="W22" s="10">
        <v>512</v>
      </c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</row>
    <row r="23" spans="1:96" ht="15" customHeight="1" x14ac:dyDescent="0.25">
      <c r="A23" s="8">
        <f>Mountaineer!A23</f>
        <v>44135</v>
      </c>
      <c r="B23" s="9">
        <v>8780805.8399999999</v>
      </c>
      <c r="C23" s="9">
        <v>7983777.6200000001</v>
      </c>
      <c r="D23" s="9">
        <v>81603</v>
      </c>
      <c r="E23" s="9">
        <f t="shared" ref="E23" si="219">B23-C23-D23</f>
        <v>715425.21999999974</v>
      </c>
      <c r="F23" s="9">
        <f>ROUND(E23*0.04,2)</f>
        <v>28617.01</v>
      </c>
      <c r="G23" s="9">
        <f t="shared" ref="G23" si="220">ROUND(E23*0,2)</f>
        <v>0</v>
      </c>
      <c r="H23" s="9">
        <f t="shared" ref="H23" si="221">E23-F23-G23</f>
        <v>686808.20999999973</v>
      </c>
      <c r="I23" s="9">
        <f t="shared" ref="I23" si="222">ROUND(H23*0,2)</f>
        <v>0</v>
      </c>
      <c r="J23" s="9">
        <f t="shared" ref="J23" si="223">ROUND((I23*0.58)+((I23*0.42)*0.1),2)</f>
        <v>0</v>
      </c>
      <c r="K23" s="9">
        <f t="shared" ref="K23" si="224">ROUND((I23*0.42)*0.9,2)</f>
        <v>0</v>
      </c>
      <c r="L23" s="69">
        <f t="shared" ref="L23" si="225">IF(J23+K23=I23,H23-I23,"ERROR")</f>
        <v>686808.20999999973</v>
      </c>
      <c r="M23" s="9">
        <f t="shared" ref="M23" si="226">ROUND(L23*0.465,2)</f>
        <v>319365.82</v>
      </c>
      <c r="N23" s="9">
        <f>ROUND(L23*0.3,2)+0.02</f>
        <v>206042.47999999998</v>
      </c>
      <c r="O23" s="9">
        <f>ROUND(L23*0.1285,2)-0.02</f>
        <v>88254.83</v>
      </c>
      <c r="P23" s="9">
        <f t="shared" si="190"/>
        <v>43268.92</v>
      </c>
      <c r="Q23" s="9">
        <f>ROUND(L23*0.01,2)</f>
        <v>6868.08</v>
      </c>
      <c r="R23" s="9">
        <f t="shared" ref="R23" si="227">ROUND((L23*0.0075)*0.9,2)</f>
        <v>4635.96</v>
      </c>
      <c r="S23" s="9">
        <f t="shared" ref="S23" si="228">ROUND((L23*0.0075)*0.9,2)</f>
        <v>4635.96</v>
      </c>
      <c r="T23" s="9">
        <f>ROUND(L23*0.02,2)</f>
        <v>13736.16</v>
      </c>
      <c r="U23" s="9">
        <f t="shared" ref="U23" si="229">ROUND(L23*0,2)</f>
        <v>0</v>
      </c>
      <c r="V23" s="42">
        <f t="shared" ref="V23" si="230">E23/W23</f>
        <v>1357.5431119544587</v>
      </c>
      <c r="W23" s="10">
        <v>527</v>
      </c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</row>
    <row r="24" spans="1:96" ht="15" customHeight="1" x14ac:dyDescent="0.25">
      <c r="A24" s="8">
        <f>Mountaineer!A24</f>
        <v>44142</v>
      </c>
      <c r="B24" s="9">
        <v>8039322.21</v>
      </c>
      <c r="C24" s="9">
        <v>7352372.6900000004</v>
      </c>
      <c r="D24" s="9">
        <v>72458</v>
      </c>
      <c r="E24" s="9">
        <f t="shared" ref="E24" si="231">B24-C24-D24</f>
        <v>614491.51999999955</v>
      </c>
      <c r="F24" s="9">
        <f>ROUND(E24*0.04,2)</f>
        <v>24579.66</v>
      </c>
      <c r="G24" s="9">
        <f t="shared" ref="G24" si="232">ROUND(E24*0,2)</f>
        <v>0</v>
      </c>
      <c r="H24" s="9">
        <f t="shared" ref="H24" si="233">E24-F24-G24</f>
        <v>589911.85999999952</v>
      </c>
      <c r="I24" s="9">
        <f t="shared" ref="I24" si="234">ROUND(H24*0,2)</f>
        <v>0</v>
      </c>
      <c r="J24" s="9">
        <f t="shared" ref="J24" si="235">ROUND((I24*0.58)+((I24*0.42)*0.1),2)</f>
        <v>0</v>
      </c>
      <c r="K24" s="9">
        <f t="shared" ref="K24" si="236">ROUND((I24*0.42)*0.9,2)</f>
        <v>0</v>
      </c>
      <c r="L24" s="69">
        <f t="shared" ref="L24" si="237">IF(J24+K24=I24,H24-I24,"ERROR")</f>
        <v>589911.85999999952</v>
      </c>
      <c r="M24" s="9">
        <f t="shared" ref="M24" si="238">ROUND(L24*0.465,2)</f>
        <v>274309.01</v>
      </c>
      <c r="N24" s="9">
        <f>ROUND(L24*0.3,2)</f>
        <v>176973.56</v>
      </c>
      <c r="O24" s="9">
        <f>ROUND(L24*0.1285,2)-0.01</f>
        <v>75803.66</v>
      </c>
      <c r="P24" s="9">
        <f t="shared" si="190"/>
        <v>37164.449999999997</v>
      </c>
      <c r="Q24" s="9">
        <f>ROUND(L24*0.01,2)</f>
        <v>5899.12</v>
      </c>
      <c r="R24" s="9">
        <f t="shared" ref="R24" si="239">ROUND((L24*0.0075)*0.9,2)</f>
        <v>3981.91</v>
      </c>
      <c r="S24" s="9">
        <f t="shared" ref="S24" si="240">ROUND((L24*0.0075)*0.9,2)</f>
        <v>3981.91</v>
      </c>
      <c r="T24" s="9">
        <f>ROUND(L24*0.02,2)</f>
        <v>11798.24</v>
      </c>
      <c r="U24" s="9">
        <f t="shared" ref="U24" si="241">ROUND(L24*0,2)</f>
        <v>0</v>
      </c>
      <c r="V24" s="42">
        <f t="shared" ref="V24" si="242">E24/W24</f>
        <v>1200.1787499999991</v>
      </c>
      <c r="W24" s="10">
        <v>512</v>
      </c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</row>
    <row r="25" spans="1:96" ht="15" customHeight="1" x14ac:dyDescent="0.25">
      <c r="A25" s="8">
        <f>Mountaineer!A25</f>
        <v>44149</v>
      </c>
      <c r="B25" s="9">
        <v>8112571.8599999994</v>
      </c>
      <c r="C25" s="9">
        <v>7387957.7599999998</v>
      </c>
      <c r="D25" s="9">
        <v>71783</v>
      </c>
      <c r="E25" s="9">
        <f t="shared" ref="E25" si="243">B25-C25-D25</f>
        <v>652831.09999999963</v>
      </c>
      <c r="F25" s="9">
        <f>ROUND(E25*0.04,2)+0.02</f>
        <v>26113.260000000002</v>
      </c>
      <c r="G25" s="9">
        <f t="shared" ref="G25" si="244">ROUND(E25*0,2)</f>
        <v>0</v>
      </c>
      <c r="H25" s="9">
        <f t="shared" ref="H25" si="245">E25-F25-G25</f>
        <v>626717.83999999962</v>
      </c>
      <c r="I25" s="9">
        <f t="shared" ref="I25" si="246">ROUND(H25*0,2)</f>
        <v>0</v>
      </c>
      <c r="J25" s="9">
        <f t="shared" ref="J25" si="247">ROUND((I25*0.58)+((I25*0.42)*0.1),2)</f>
        <v>0</v>
      </c>
      <c r="K25" s="9">
        <f t="shared" ref="K25" si="248">ROUND((I25*0.42)*0.9,2)</f>
        <v>0</v>
      </c>
      <c r="L25" s="69">
        <f t="shared" ref="L25" si="249">IF(J25+K25=I25,H25-I25,"ERROR")</f>
        <v>626717.83999999962</v>
      </c>
      <c r="M25" s="9">
        <f t="shared" ref="M25" si="250">ROUND(L25*0.465,2)</f>
        <v>291423.8</v>
      </c>
      <c r="N25" s="9">
        <f>ROUND(L25*0.3,2)-0.01</f>
        <v>188015.34</v>
      </c>
      <c r="O25" s="9">
        <f>ROUND(L25*0.1285,2)</f>
        <v>80533.240000000005</v>
      </c>
      <c r="P25" s="9">
        <f t="shared" si="190"/>
        <v>39483.22</v>
      </c>
      <c r="Q25" s="9">
        <f>ROUND(L25*0.01,2)</f>
        <v>6267.18</v>
      </c>
      <c r="R25" s="9">
        <f t="shared" ref="R25" si="251">ROUND((L25*0.0075)*0.9,2)</f>
        <v>4230.3500000000004</v>
      </c>
      <c r="S25" s="9">
        <f t="shared" ref="S25" si="252">ROUND((L25*0.0075)*0.9,2)</f>
        <v>4230.3500000000004</v>
      </c>
      <c r="T25" s="9">
        <f>ROUND(L25*0.02,2)</f>
        <v>12534.36</v>
      </c>
      <c r="U25" s="9">
        <f t="shared" ref="U25" si="253">ROUND(L25*0,2)</f>
        <v>0</v>
      </c>
      <c r="V25" s="42">
        <f t="shared" ref="V25" si="254">E25/W25</f>
        <v>1241.1237642585545</v>
      </c>
      <c r="W25" s="10">
        <v>526</v>
      </c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</row>
    <row r="26" spans="1:96" ht="15" customHeight="1" x14ac:dyDescent="0.25">
      <c r="A26" s="8">
        <f>Mountaineer!A26</f>
        <v>44156</v>
      </c>
      <c r="B26" s="9">
        <v>8291391.8399999999</v>
      </c>
      <c r="C26" s="9">
        <v>7515285.0700000003</v>
      </c>
      <c r="D26" s="9">
        <v>83658</v>
      </c>
      <c r="E26" s="9">
        <f t="shared" ref="E26" si="255">B26-C26-D26</f>
        <v>692448.76999999955</v>
      </c>
      <c r="F26" s="9">
        <f>ROUND(E26*0.04,2)</f>
        <v>27697.95</v>
      </c>
      <c r="G26" s="9">
        <f t="shared" ref="G26" si="256">ROUND(E26*0,2)</f>
        <v>0</v>
      </c>
      <c r="H26" s="9">
        <f t="shared" ref="H26" si="257">E26-F26-G26</f>
        <v>664750.8199999996</v>
      </c>
      <c r="I26" s="9">
        <f t="shared" ref="I26" si="258">ROUND(H26*0,2)</f>
        <v>0</v>
      </c>
      <c r="J26" s="9">
        <f t="shared" ref="J26" si="259">ROUND((I26*0.58)+((I26*0.42)*0.1),2)</f>
        <v>0</v>
      </c>
      <c r="K26" s="9">
        <f t="shared" ref="K26" si="260">ROUND((I26*0.42)*0.9,2)</f>
        <v>0</v>
      </c>
      <c r="L26" s="69">
        <f t="shared" ref="L26" si="261">IF(J26+K26=I26,H26-I26,"ERROR")</f>
        <v>664750.8199999996</v>
      </c>
      <c r="M26" s="9">
        <f t="shared" ref="M26" si="262">ROUND(L26*0.465,2)</f>
        <v>309109.13</v>
      </c>
      <c r="N26" s="9">
        <f>ROUND(L26*0.3,2)+0.04</f>
        <v>199425.29</v>
      </c>
      <c r="O26" s="9">
        <f>ROUND(L26*0.1285,2)-0.02</f>
        <v>85420.459999999992</v>
      </c>
      <c r="P26" s="9">
        <f t="shared" ref="P26" si="263">ROUND((L26*0.07)*0.9,2)</f>
        <v>41879.300000000003</v>
      </c>
      <c r="Q26" s="9">
        <f>ROUND(L26*0.01,2)-0.01</f>
        <v>6647.5</v>
      </c>
      <c r="R26" s="9">
        <f t="shared" ref="R26" si="264">ROUND((L26*0.0075)*0.9,2)</f>
        <v>4487.07</v>
      </c>
      <c r="S26" s="9">
        <f t="shared" ref="S26" si="265">ROUND((L26*0.0075)*0.9,2)</f>
        <v>4487.07</v>
      </c>
      <c r="T26" s="9">
        <f>ROUND(L26*0.02,2)-0.02</f>
        <v>13295</v>
      </c>
      <c r="U26" s="9">
        <f t="shared" ref="U26" si="266">ROUND(L26*0,2)</f>
        <v>0</v>
      </c>
      <c r="V26" s="42">
        <f t="shared" ref="V26" si="267">E26/W26</f>
        <v>1331.6322499999992</v>
      </c>
      <c r="W26" s="10">
        <v>520</v>
      </c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</row>
    <row r="27" spans="1:96" ht="15" customHeight="1" x14ac:dyDescent="0.25">
      <c r="A27" s="8">
        <f>Mountaineer!A27</f>
        <v>44163</v>
      </c>
      <c r="B27" s="9">
        <v>8818937.4199999999</v>
      </c>
      <c r="C27" s="9">
        <v>7942561.5999999996</v>
      </c>
      <c r="D27" s="9">
        <v>68735</v>
      </c>
      <c r="E27" s="9">
        <f t="shared" ref="E27" si="268">B27-C27-D27</f>
        <v>807640.8200000003</v>
      </c>
      <c r="F27" s="9">
        <f>ROUND(E27*0.04,2)</f>
        <v>32305.63</v>
      </c>
      <c r="G27" s="9">
        <f t="shared" ref="G27" si="269">ROUND(E27*0,2)</f>
        <v>0</v>
      </c>
      <c r="H27" s="9">
        <f t="shared" ref="H27" si="270">E27-F27-G27</f>
        <v>775335.19000000029</v>
      </c>
      <c r="I27" s="9">
        <f t="shared" ref="I27" si="271">ROUND(H27*0,2)</f>
        <v>0</v>
      </c>
      <c r="J27" s="9">
        <f t="shared" ref="J27" si="272">ROUND((I27*0.58)+((I27*0.42)*0.1),2)</f>
        <v>0</v>
      </c>
      <c r="K27" s="9">
        <f t="shared" ref="K27" si="273">ROUND((I27*0.42)*0.9,2)</f>
        <v>0</v>
      </c>
      <c r="L27" s="69">
        <f t="shared" ref="L27" si="274">IF(J27+K27=I27,H27-I27,"ERROR")</f>
        <v>775335.19000000029</v>
      </c>
      <c r="M27" s="9">
        <f t="shared" ref="M27" si="275">ROUND(L27*0.465,2)</f>
        <v>360530.86</v>
      </c>
      <c r="N27" s="9">
        <f>ROUND(L27*0.3,2)-0.03</f>
        <v>232600.53</v>
      </c>
      <c r="O27" s="9">
        <f>ROUND(L27*0.1285,2)+0.01</f>
        <v>99630.58</v>
      </c>
      <c r="P27" s="9">
        <f t="shared" ref="P27" si="276">ROUND((L27*0.07)*0.9,2)</f>
        <v>48846.12</v>
      </c>
      <c r="Q27" s="9">
        <f>ROUND(L27*0.01,2)+0.01</f>
        <v>7753.3600000000006</v>
      </c>
      <c r="R27" s="9">
        <f t="shared" ref="R27" si="277">ROUND((L27*0.0075)*0.9,2)</f>
        <v>5233.51</v>
      </c>
      <c r="S27" s="9">
        <f t="shared" ref="S27" si="278">ROUND((L27*0.0075)*0.9,2)</f>
        <v>5233.51</v>
      </c>
      <c r="T27" s="9">
        <f>ROUND(L27*0.02,2)+0.02</f>
        <v>15506.720000000001</v>
      </c>
      <c r="U27" s="9">
        <f t="shared" ref="U27" si="279">ROUND(L27*0,2)</f>
        <v>0</v>
      </c>
      <c r="V27" s="42">
        <f t="shared" ref="V27" si="280">E27/W27</f>
        <v>1520.980828625236</v>
      </c>
      <c r="W27" s="10">
        <v>531</v>
      </c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</row>
    <row r="28" spans="1:96" ht="15" customHeight="1" x14ac:dyDescent="0.25">
      <c r="A28" s="8">
        <f>Mountaineer!A28</f>
        <v>44170</v>
      </c>
      <c r="B28" s="9">
        <v>8210577.96</v>
      </c>
      <c r="C28" s="9">
        <v>7449178.4400000004</v>
      </c>
      <c r="D28" s="9">
        <v>74152</v>
      </c>
      <c r="E28" s="9">
        <f t="shared" ref="E28" si="281">B28-C28-D28</f>
        <v>687247.51999999955</v>
      </c>
      <c r="F28" s="9">
        <f>ROUND(E28*0.04,2)</f>
        <v>27489.9</v>
      </c>
      <c r="G28" s="9">
        <f t="shared" ref="G28" si="282">ROUND(E28*0,2)</f>
        <v>0</v>
      </c>
      <c r="H28" s="9">
        <f t="shared" ref="H28" si="283">E28-F28-G28</f>
        <v>659757.61999999953</v>
      </c>
      <c r="I28" s="9">
        <f t="shared" ref="I28" si="284">ROUND(H28*0,2)</f>
        <v>0</v>
      </c>
      <c r="J28" s="9">
        <f t="shared" ref="J28" si="285">ROUND((I28*0.58)+((I28*0.42)*0.1),2)</f>
        <v>0</v>
      </c>
      <c r="K28" s="9">
        <f t="shared" ref="K28" si="286">ROUND((I28*0.42)*0.9,2)</f>
        <v>0</v>
      </c>
      <c r="L28" s="69">
        <f t="shared" ref="L28" si="287">IF(J28+K28=I28,H28-I28,"ERROR")</f>
        <v>659757.61999999953</v>
      </c>
      <c r="M28" s="9">
        <f t="shared" ref="M28" si="288">ROUND(L28*0.465,2)</f>
        <v>306787.28999999998</v>
      </c>
      <c r="N28" s="9">
        <f>ROUND(L28*0.3,2)-0.01</f>
        <v>197927.28</v>
      </c>
      <c r="O28" s="9">
        <f>ROUND(L28*0.1285,2)+0.01</f>
        <v>84778.86</v>
      </c>
      <c r="P28" s="9">
        <f t="shared" ref="P28" si="289">ROUND((L28*0.07)*0.9,2)</f>
        <v>41564.730000000003</v>
      </c>
      <c r="Q28" s="9">
        <f>ROUND(L28*0.01,2)</f>
        <v>6597.58</v>
      </c>
      <c r="R28" s="9">
        <f t="shared" ref="R28" si="290">ROUND((L28*0.0075)*0.9,2)</f>
        <v>4453.3599999999997</v>
      </c>
      <c r="S28" s="9">
        <f t="shared" ref="S28" si="291">ROUND((L28*0.0075)*0.9,2)</f>
        <v>4453.3599999999997</v>
      </c>
      <c r="T28" s="9">
        <f>ROUND(L28*0.02,2)+0.01</f>
        <v>13195.16</v>
      </c>
      <c r="U28" s="9">
        <f t="shared" ref="U28" si="292">ROUND(L28*0,2)</f>
        <v>0</v>
      </c>
      <c r="V28" s="42">
        <f t="shared" ref="V28" si="293">E28/W28</f>
        <v>1291.8186466165405</v>
      </c>
      <c r="W28" s="10">
        <v>532</v>
      </c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</row>
    <row r="29" spans="1:96" ht="15" customHeight="1" x14ac:dyDescent="0.25">
      <c r="A29" s="8">
        <f>Mountaineer!A29</f>
        <v>44177</v>
      </c>
      <c r="B29" s="9">
        <v>7911071.8499999996</v>
      </c>
      <c r="C29" s="9">
        <v>7219446.5800000001</v>
      </c>
      <c r="D29" s="9">
        <v>60070</v>
      </c>
      <c r="E29" s="9">
        <f t="shared" ref="E29" si="294">B29-C29-D29</f>
        <v>631555.26999999955</v>
      </c>
      <c r="F29" s="9">
        <f>ROUND(E29*0.04,2)</f>
        <v>25262.21</v>
      </c>
      <c r="G29" s="9">
        <f t="shared" ref="G29" si="295">ROUND(E29*0,2)</f>
        <v>0</v>
      </c>
      <c r="H29" s="9">
        <f t="shared" ref="H29" si="296">E29-F29-G29</f>
        <v>606293.05999999959</v>
      </c>
      <c r="I29" s="9">
        <f t="shared" ref="I29" si="297">ROUND(H29*0,2)</f>
        <v>0</v>
      </c>
      <c r="J29" s="9">
        <f t="shared" ref="J29" si="298">ROUND((I29*0.58)+((I29*0.42)*0.1),2)</f>
        <v>0</v>
      </c>
      <c r="K29" s="9">
        <f t="shared" ref="K29" si="299">ROUND((I29*0.42)*0.9,2)</f>
        <v>0</v>
      </c>
      <c r="L29" s="69">
        <f t="shared" ref="L29" si="300">IF(J29+K29=I29,H29-I29,"ERROR")</f>
        <v>606293.05999999959</v>
      </c>
      <c r="M29" s="9">
        <f t="shared" ref="M29" si="301">ROUND(L29*0.465,2)</f>
        <v>281926.27</v>
      </c>
      <c r="N29" s="9">
        <f>ROUND(L29*0.3,2)-0.04</f>
        <v>181887.88</v>
      </c>
      <c r="O29" s="9">
        <f>ROUND(L29*0.1285,2)+0.01</f>
        <v>77908.67</v>
      </c>
      <c r="P29" s="9">
        <f t="shared" ref="P29" si="302">ROUND((L29*0.07)*0.9,2)</f>
        <v>38196.46</v>
      </c>
      <c r="Q29" s="9">
        <f>ROUND(L29*0.01,2)+0.01</f>
        <v>6062.9400000000005</v>
      </c>
      <c r="R29" s="9">
        <f t="shared" ref="R29" si="303">ROUND((L29*0.0075)*0.9,2)</f>
        <v>4092.48</v>
      </c>
      <c r="S29" s="9">
        <f t="shared" ref="S29" si="304">ROUND((L29*0.0075)*0.9,2)</f>
        <v>4092.48</v>
      </c>
      <c r="T29" s="9">
        <f>ROUND(L29*0.02,2)+0.02</f>
        <v>12125.880000000001</v>
      </c>
      <c r="U29" s="9">
        <f t="shared" ref="U29" si="305">ROUND(L29*0,2)</f>
        <v>0</v>
      </c>
      <c r="V29" s="42">
        <f t="shared" ref="V29" si="306">E29/W29</f>
        <v>1154.5800182815349</v>
      </c>
      <c r="W29" s="10">
        <v>547</v>
      </c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</row>
    <row r="30" spans="1:96" ht="15" customHeight="1" x14ac:dyDescent="0.25">
      <c r="A30" s="8">
        <f>Mountaineer!A30</f>
        <v>44184</v>
      </c>
      <c r="B30" s="9">
        <v>7852348.1200000001</v>
      </c>
      <c r="C30" s="9">
        <v>7158260.3499999996</v>
      </c>
      <c r="D30" s="9">
        <v>64508</v>
      </c>
      <c r="E30" s="9">
        <f t="shared" ref="E30" si="307">B30-C30-D30</f>
        <v>629579.77000000048</v>
      </c>
      <c r="F30" s="9">
        <f>ROUND(E30*0.04,2)-0.01</f>
        <v>25183.18</v>
      </c>
      <c r="G30" s="9">
        <f t="shared" ref="G30" si="308">ROUND(E30*0,2)</f>
        <v>0</v>
      </c>
      <c r="H30" s="9">
        <f t="shared" ref="H30" si="309">E30-F30-G30</f>
        <v>604396.59000000043</v>
      </c>
      <c r="I30" s="9">
        <f t="shared" ref="I30" si="310">ROUND(H30*0,2)</f>
        <v>0</v>
      </c>
      <c r="J30" s="9">
        <f t="shared" ref="J30" si="311">ROUND((I30*0.58)+((I30*0.42)*0.1),2)</f>
        <v>0</v>
      </c>
      <c r="K30" s="9">
        <f t="shared" ref="K30" si="312">ROUND((I30*0.42)*0.9,2)</f>
        <v>0</v>
      </c>
      <c r="L30" s="69">
        <f t="shared" ref="L30" si="313">IF(J30+K30=I30,H30-I30,"ERROR")</f>
        <v>604396.59000000043</v>
      </c>
      <c r="M30" s="9">
        <f t="shared" ref="M30" si="314">ROUND(L30*0.465,2)</f>
        <v>281044.40999999997</v>
      </c>
      <c r="N30" s="9">
        <f>ROUND(L30*0.3,2)+0.04</f>
        <v>181319.02000000002</v>
      </c>
      <c r="O30" s="9">
        <f>ROUND(L30*0.1285,2)-0.03</f>
        <v>77664.930000000008</v>
      </c>
      <c r="P30" s="9">
        <f t="shared" ref="P30" si="315">ROUND((L30*0.07)*0.9,2)</f>
        <v>38076.99</v>
      </c>
      <c r="Q30" s="9">
        <f>ROUND(L30*0.01,2)-0.01</f>
        <v>6043.96</v>
      </c>
      <c r="R30" s="9">
        <f t="shared" ref="R30:R35" si="316">ROUND((L30*0.0075)*0.9,2)</f>
        <v>4079.68</v>
      </c>
      <c r="S30" s="9">
        <f t="shared" ref="S30" si="317">ROUND((L30*0.0075)*0.9,2)</f>
        <v>4079.68</v>
      </c>
      <c r="T30" s="9">
        <f>ROUND(L30*0.02,2)-0.01</f>
        <v>12087.92</v>
      </c>
      <c r="U30" s="9">
        <f t="shared" ref="U30" si="318">ROUND(L30*0,2)</f>
        <v>0</v>
      </c>
      <c r="V30" s="42">
        <f t="shared" ref="V30" si="319">E30/W30</f>
        <v>1130.3047935368052</v>
      </c>
      <c r="W30" s="10">
        <v>557</v>
      </c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</row>
    <row r="31" spans="1:96" ht="15" customHeight="1" x14ac:dyDescent="0.25">
      <c r="A31" s="8">
        <f>Mountaineer!A31</f>
        <v>44191</v>
      </c>
      <c r="B31" s="9">
        <v>6951183.9399999995</v>
      </c>
      <c r="C31" s="9">
        <v>6344133.0099999998</v>
      </c>
      <c r="D31" s="9">
        <v>60691</v>
      </c>
      <c r="E31" s="9">
        <f t="shared" ref="E31" si="320">B31-C31-D31</f>
        <v>546359.9299999997</v>
      </c>
      <c r="F31" s="9">
        <f>ROUND(E31*0.04,2)-0.02</f>
        <v>21854.38</v>
      </c>
      <c r="G31" s="9">
        <f t="shared" ref="G31" si="321">ROUND(E31*0,2)</f>
        <v>0</v>
      </c>
      <c r="H31" s="9">
        <f t="shared" ref="H31" si="322">E31-F31-G31</f>
        <v>524505.5499999997</v>
      </c>
      <c r="I31" s="9">
        <f t="shared" ref="I31" si="323">ROUND(H31*0,2)</f>
        <v>0</v>
      </c>
      <c r="J31" s="9">
        <f t="shared" ref="J31" si="324">ROUND((I31*0.58)+((I31*0.42)*0.1),2)</f>
        <v>0</v>
      </c>
      <c r="K31" s="9">
        <f t="shared" ref="K31" si="325">ROUND((I31*0.42)*0.9,2)</f>
        <v>0</v>
      </c>
      <c r="L31" s="69">
        <f t="shared" ref="L31" si="326">IF(J31+K31=I31,H31-I31,"ERROR")</f>
        <v>524505.5499999997</v>
      </c>
      <c r="M31" s="9">
        <f t="shared" ref="M31" si="327">ROUND(L31*0.465,2)</f>
        <v>243895.08</v>
      </c>
      <c r="N31" s="9">
        <f>ROUND(L31*0.3,2)-0.04</f>
        <v>157351.63</v>
      </c>
      <c r="O31" s="9">
        <f>ROUND(L31*0.1285,2)+0.03</f>
        <v>67398.990000000005</v>
      </c>
      <c r="P31" s="9">
        <f t="shared" ref="P31" si="328">ROUND((L31*0.07)*0.9,2)</f>
        <v>33043.85</v>
      </c>
      <c r="Q31" s="9">
        <f t="shared" ref="Q31:Q36" si="329">ROUND(L31*0.01,2)</f>
        <v>5245.06</v>
      </c>
      <c r="R31" s="9">
        <f t="shared" si="316"/>
        <v>3540.41</v>
      </c>
      <c r="S31" s="9">
        <f t="shared" ref="S31" si="330">ROUND((L31*0.0075)*0.9,2)</f>
        <v>3540.41</v>
      </c>
      <c r="T31" s="9">
        <f>ROUND(L31*0.02,2)+0.01</f>
        <v>10490.12</v>
      </c>
      <c r="U31" s="9">
        <f t="shared" ref="U31" si="331">ROUND(L31*0,2)</f>
        <v>0</v>
      </c>
      <c r="V31" s="42">
        <f t="shared" ref="V31" si="332">E31/W31</f>
        <v>993.38169090909037</v>
      </c>
      <c r="W31" s="10">
        <v>550</v>
      </c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</row>
    <row r="32" spans="1:96" ht="15" customHeight="1" x14ac:dyDescent="0.25">
      <c r="A32" s="8">
        <f>Mountaineer!A32</f>
        <v>44198</v>
      </c>
      <c r="B32" s="9">
        <v>14011250.93</v>
      </c>
      <c r="C32" s="9">
        <v>12663246.91</v>
      </c>
      <c r="D32" s="9">
        <v>96648</v>
      </c>
      <c r="E32" s="9">
        <f t="shared" ref="E32" si="333">B32-C32-D32</f>
        <v>1251356.0199999996</v>
      </c>
      <c r="F32" s="9">
        <f>ROUND(E32*0.04,2)+0.01</f>
        <v>50054.25</v>
      </c>
      <c r="G32" s="9">
        <f t="shared" ref="G32" si="334">ROUND(E32*0,2)</f>
        <v>0</v>
      </c>
      <c r="H32" s="9">
        <f t="shared" ref="H32" si="335">E32-F32-G32</f>
        <v>1201301.7699999996</v>
      </c>
      <c r="I32" s="9">
        <f t="shared" ref="I32" si="336">ROUND(H32*0,2)</f>
        <v>0</v>
      </c>
      <c r="J32" s="9">
        <f t="shared" ref="J32" si="337">ROUND((I32*0.58)+((I32*0.42)*0.1),2)</f>
        <v>0</v>
      </c>
      <c r="K32" s="9">
        <f t="shared" ref="K32" si="338">ROUND((I32*0.42)*0.9,2)</f>
        <v>0</v>
      </c>
      <c r="L32" s="69">
        <f t="shared" ref="L32" si="339">IF(J32+K32=I32,H32-I32,"ERROR")</f>
        <v>1201301.7699999996</v>
      </c>
      <c r="M32" s="9">
        <f t="shared" ref="M32" si="340">ROUND(L32*0.465,2)</f>
        <v>558605.31999999995</v>
      </c>
      <c r="N32" s="9">
        <f>ROUND(L32*0.3,2)+0.01</f>
        <v>360390.54000000004</v>
      </c>
      <c r="O32" s="9">
        <f>ROUND(L32*0.1285,2)-0.02</f>
        <v>154367.26</v>
      </c>
      <c r="P32" s="9">
        <f t="shared" ref="P32" si="341">ROUND((L32*0.07)*0.9,2)</f>
        <v>75682.009999999995</v>
      </c>
      <c r="Q32" s="9">
        <f t="shared" si="329"/>
        <v>12013.02</v>
      </c>
      <c r="R32" s="9">
        <f t="shared" si="316"/>
        <v>8108.79</v>
      </c>
      <c r="S32" s="9">
        <f t="shared" ref="S32" si="342">ROUND((L32*0.0075)*0.9,2)</f>
        <v>8108.79</v>
      </c>
      <c r="T32" s="9">
        <f>ROUND(L32*0.02,2)</f>
        <v>24026.04</v>
      </c>
      <c r="U32" s="9">
        <f t="shared" ref="U32" si="343">ROUND(L32*0,2)</f>
        <v>0</v>
      </c>
      <c r="V32" s="42">
        <f t="shared" ref="V32" si="344">E32/W32</f>
        <v>2172.4930902777769</v>
      </c>
      <c r="W32" s="10">
        <v>576</v>
      </c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</row>
    <row r="33" spans="1:96" ht="15" customHeight="1" x14ac:dyDescent="0.25">
      <c r="A33" s="8">
        <f>Mountaineer!A33</f>
        <v>44205</v>
      </c>
      <c r="B33" s="9">
        <v>8419507.7199999988</v>
      </c>
      <c r="C33" s="9">
        <v>7592739.9399999995</v>
      </c>
      <c r="D33" s="9">
        <v>64664</v>
      </c>
      <c r="E33" s="9">
        <f t="shared" ref="E33" si="345">B33-C33-D33</f>
        <v>762103.77999999933</v>
      </c>
      <c r="F33" s="9">
        <f>ROUND(E33*0.04,2)</f>
        <v>30484.15</v>
      </c>
      <c r="G33" s="9">
        <f t="shared" ref="G33" si="346">ROUND(E33*0,2)</f>
        <v>0</v>
      </c>
      <c r="H33" s="9">
        <f t="shared" ref="H33" si="347">E33-F33-G33</f>
        <v>731619.62999999931</v>
      </c>
      <c r="I33" s="9">
        <f t="shared" ref="I33" si="348">ROUND(H33*0,2)</f>
        <v>0</v>
      </c>
      <c r="J33" s="9">
        <f t="shared" ref="J33" si="349">ROUND((I33*0.58)+((I33*0.42)*0.1),2)</f>
        <v>0</v>
      </c>
      <c r="K33" s="9">
        <f t="shared" ref="K33" si="350">ROUND((I33*0.42)*0.9,2)</f>
        <v>0</v>
      </c>
      <c r="L33" s="69">
        <f t="shared" ref="L33" si="351">IF(J33+K33=I33,H33-I33,"ERROR")</f>
        <v>731619.62999999931</v>
      </c>
      <c r="M33" s="9">
        <f t="shared" ref="M33" si="352">ROUND(L33*0.465,2)</f>
        <v>340203.13</v>
      </c>
      <c r="N33" s="9">
        <f>ROUND(L33*0.3,2)-0.01</f>
        <v>219485.88</v>
      </c>
      <c r="O33" s="9">
        <f>ROUND(L33*0.1285,2)</f>
        <v>94013.119999999995</v>
      </c>
      <c r="P33" s="9">
        <f t="shared" ref="P33" si="353">ROUND((L33*0.07)*0.9,2)</f>
        <v>46092.04</v>
      </c>
      <c r="Q33" s="9">
        <f t="shared" si="329"/>
        <v>7316.2</v>
      </c>
      <c r="R33" s="9">
        <f t="shared" si="316"/>
        <v>4938.43</v>
      </c>
      <c r="S33" s="9">
        <f t="shared" ref="S33" si="354">ROUND((L33*0.0075)*0.9,2)</f>
        <v>4938.43</v>
      </c>
      <c r="T33" s="9">
        <f>ROUND(L33*0.02,2)+0.01</f>
        <v>14632.4</v>
      </c>
      <c r="U33" s="9">
        <f t="shared" ref="U33" si="355">ROUND(L33*0,2)</f>
        <v>0</v>
      </c>
      <c r="V33" s="42">
        <f t="shared" ref="V33" si="356">E33/W33</f>
        <v>1327.7069337979083</v>
      </c>
      <c r="W33" s="10">
        <v>574</v>
      </c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</row>
    <row r="34" spans="1:96" ht="15" customHeight="1" x14ac:dyDescent="0.25">
      <c r="A34" s="8">
        <f>Mountaineer!A34</f>
        <v>44212</v>
      </c>
      <c r="B34" s="9">
        <v>8457573.0299999993</v>
      </c>
      <c r="C34" s="9">
        <v>7710287.79</v>
      </c>
      <c r="D34" s="9">
        <v>71142</v>
      </c>
      <c r="E34" s="9">
        <f t="shared" ref="E34" si="357">B34-C34-D34</f>
        <v>676143.23999999929</v>
      </c>
      <c r="F34" s="9">
        <f>ROUND(E34*0.04,2)</f>
        <v>27045.73</v>
      </c>
      <c r="G34" s="9">
        <f t="shared" ref="G34" si="358">ROUND(E34*0,2)</f>
        <v>0</v>
      </c>
      <c r="H34" s="9">
        <f t="shared" ref="H34" si="359">E34-F34-G34</f>
        <v>649097.50999999931</v>
      </c>
      <c r="I34" s="9">
        <f t="shared" ref="I34" si="360">ROUND(H34*0,2)</f>
        <v>0</v>
      </c>
      <c r="J34" s="9">
        <f t="shared" ref="J34" si="361">ROUND((I34*0.58)+((I34*0.42)*0.1),2)</f>
        <v>0</v>
      </c>
      <c r="K34" s="9">
        <f t="shared" ref="K34" si="362">ROUND((I34*0.42)*0.9,2)</f>
        <v>0</v>
      </c>
      <c r="L34" s="69">
        <f t="shared" ref="L34" si="363">IF(J34+K34=I34,H34-I34,"ERROR")</f>
        <v>649097.50999999931</v>
      </c>
      <c r="M34" s="9">
        <f t="shared" ref="M34" si="364">ROUND(L34*0.465,2)</f>
        <v>301830.34000000003</v>
      </c>
      <c r="N34" s="9">
        <f>ROUND(L34*0.3,2)-0.04</f>
        <v>194729.21</v>
      </c>
      <c r="O34" s="9">
        <f>ROUND(L34*0.1285,2)+0.03</f>
        <v>83409.06</v>
      </c>
      <c r="P34" s="9">
        <f t="shared" ref="P34" si="365">ROUND((L34*0.07)*0.9,2)</f>
        <v>40893.14</v>
      </c>
      <c r="Q34" s="9">
        <f t="shared" si="329"/>
        <v>6490.98</v>
      </c>
      <c r="R34" s="9">
        <f t="shared" si="316"/>
        <v>4381.41</v>
      </c>
      <c r="S34" s="9">
        <f t="shared" ref="S34" si="366">ROUND((L34*0.0075)*0.9,2)</f>
        <v>4381.41</v>
      </c>
      <c r="T34" s="9">
        <f>ROUND(L34*0.02,2)+0.01</f>
        <v>12981.960000000001</v>
      </c>
      <c r="U34" s="9">
        <f t="shared" ref="U34" si="367">ROUND(L34*0,2)</f>
        <v>0</v>
      </c>
      <c r="V34" s="42">
        <f t="shared" ref="V34" si="368">E34/W34</f>
        <v>1190.393028169013</v>
      </c>
      <c r="W34" s="10">
        <v>568</v>
      </c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</row>
    <row r="35" spans="1:96" ht="15" customHeight="1" x14ac:dyDescent="0.25">
      <c r="A35" s="8">
        <f>Mountaineer!A35</f>
        <v>44219</v>
      </c>
      <c r="B35" s="9">
        <v>8645353.4199999999</v>
      </c>
      <c r="C35" s="9">
        <v>7801754.2899999991</v>
      </c>
      <c r="D35" s="9">
        <v>71057</v>
      </c>
      <c r="E35" s="9">
        <f t="shared" ref="E35" si="369">B35-C35-D35</f>
        <v>772542.13000000082</v>
      </c>
      <c r="F35" s="9">
        <f>ROUND(E35*0.04,2)</f>
        <v>30901.69</v>
      </c>
      <c r="G35" s="9">
        <f t="shared" ref="G35" si="370">ROUND(E35*0,2)</f>
        <v>0</v>
      </c>
      <c r="H35" s="9">
        <f t="shared" ref="H35" si="371">E35-F35-G35</f>
        <v>741640.44000000088</v>
      </c>
      <c r="I35" s="9">
        <f t="shared" ref="I35" si="372">ROUND(H35*0,2)</f>
        <v>0</v>
      </c>
      <c r="J35" s="9">
        <f t="shared" ref="J35" si="373">ROUND((I35*0.58)+((I35*0.42)*0.1),2)</f>
        <v>0</v>
      </c>
      <c r="K35" s="9">
        <f t="shared" ref="K35" si="374">ROUND((I35*0.42)*0.9,2)</f>
        <v>0</v>
      </c>
      <c r="L35" s="69">
        <f t="shared" ref="L35" si="375">IF(J35+K35=I35,H35-I35,"ERROR")</f>
        <v>741640.44000000088</v>
      </c>
      <c r="M35" s="9">
        <f t="shared" ref="M35" si="376">ROUND(L35*0.465,2)</f>
        <v>344862.8</v>
      </c>
      <c r="N35" s="9">
        <f>ROUND(L35*0.3,2)+0.03</f>
        <v>222492.16</v>
      </c>
      <c r="O35" s="9">
        <f>ROUND(L35*0.1285,2)-0.01</f>
        <v>95300.790000000008</v>
      </c>
      <c r="P35" s="9">
        <f t="shared" ref="P35" si="377">ROUND((L35*0.07)*0.9,2)</f>
        <v>46723.35</v>
      </c>
      <c r="Q35" s="9">
        <f t="shared" si="329"/>
        <v>7416.4</v>
      </c>
      <c r="R35" s="9">
        <f t="shared" si="316"/>
        <v>5006.07</v>
      </c>
      <c r="S35" s="9">
        <f t="shared" ref="S35" si="378">ROUND((L35*0.0075)*0.9,2)</f>
        <v>5006.07</v>
      </c>
      <c r="T35" s="9">
        <f>ROUND(L35*0.02,2)-0.01</f>
        <v>14832.8</v>
      </c>
      <c r="U35" s="9">
        <f t="shared" ref="U35" si="379">ROUND(L35*0,2)</f>
        <v>0</v>
      </c>
      <c r="V35" s="42">
        <f t="shared" ref="V35" si="380">E35/W35</f>
        <v>1350.5981293706309</v>
      </c>
      <c r="W35" s="10">
        <v>572</v>
      </c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</row>
    <row r="36" spans="1:96" ht="15" customHeight="1" x14ac:dyDescent="0.25">
      <c r="A36" s="8">
        <f>Mountaineer!A36</f>
        <v>44226</v>
      </c>
      <c r="B36" s="9">
        <v>8416806.1900000013</v>
      </c>
      <c r="C36" s="9">
        <v>7589382.5099999998</v>
      </c>
      <c r="D36" s="9">
        <v>65434</v>
      </c>
      <c r="E36" s="9">
        <f t="shared" ref="E36" si="381">B36-C36-D36</f>
        <v>761989.68000000156</v>
      </c>
      <c r="F36" s="9">
        <f>ROUND(E36*0.04,2)</f>
        <v>30479.59</v>
      </c>
      <c r="G36" s="9">
        <f t="shared" ref="G36" si="382">ROUND(E36*0,2)</f>
        <v>0</v>
      </c>
      <c r="H36" s="9">
        <f t="shared" ref="H36" si="383">E36-F36-G36</f>
        <v>731510.0900000016</v>
      </c>
      <c r="I36" s="9">
        <f t="shared" ref="I36" si="384">ROUND(H36*0,2)</f>
        <v>0</v>
      </c>
      <c r="J36" s="9">
        <f t="shared" ref="J36" si="385">ROUND((I36*0.58)+((I36*0.42)*0.1),2)</f>
        <v>0</v>
      </c>
      <c r="K36" s="9">
        <f t="shared" ref="K36" si="386">ROUND((I36*0.42)*0.9,2)</f>
        <v>0</v>
      </c>
      <c r="L36" s="69">
        <f t="shared" ref="L36" si="387">IF(J36+K36=I36,H36-I36,"ERROR")</f>
        <v>731510.0900000016</v>
      </c>
      <c r="M36" s="9">
        <f t="shared" ref="M36" si="388">ROUND(L36*0.465,2)</f>
        <v>340152.19</v>
      </c>
      <c r="N36" s="9">
        <f>ROUND(L36*0.3,2)</f>
        <v>219453.03</v>
      </c>
      <c r="O36" s="9">
        <f>ROUND(L36*0.1285,2)</f>
        <v>93999.05</v>
      </c>
      <c r="P36" s="9">
        <f t="shared" ref="P36" si="389">ROUND((L36*0.07)*0.9,2)</f>
        <v>46085.14</v>
      </c>
      <c r="Q36" s="9">
        <f t="shared" si="329"/>
        <v>7315.1</v>
      </c>
      <c r="R36" s="9">
        <f t="shared" ref="R36" si="390">ROUND((L36*0.0075)*0.9,2)</f>
        <v>4937.6899999999996</v>
      </c>
      <c r="S36" s="9">
        <f t="shared" ref="S36" si="391">ROUND((L36*0.0075)*0.9,2)</f>
        <v>4937.6899999999996</v>
      </c>
      <c r="T36" s="9">
        <f>ROUND(L36*0.02,2)</f>
        <v>14630.2</v>
      </c>
      <c r="U36" s="9">
        <f t="shared" ref="U36" si="392">ROUND(L36*0,2)</f>
        <v>0</v>
      </c>
      <c r="V36" s="42">
        <f t="shared" ref="V36" si="393">E36/W36</f>
        <v>1343.8971428571456</v>
      </c>
      <c r="W36" s="10">
        <v>567</v>
      </c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</row>
    <row r="37" spans="1:96" ht="15" customHeight="1" x14ac:dyDescent="0.25">
      <c r="A37" s="8">
        <f>Mountaineer!A37</f>
        <v>44233</v>
      </c>
      <c r="B37" s="9">
        <v>8965634.1499999985</v>
      </c>
      <c r="C37" s="9">
        <v>8148736.959999999</v>
      </c>
      <c r="D37" s="9">
        <v>64484</v>
      </c>
      <c r="E37" s="9">
        <f t="shared" ref="E37" si="394">B37-C37-D37</f>
        <v>752413.18999999948</v>
      </c>
      <c r="F37" s="9">
        <f>ROUND(E37*0.04,2)-0.01</f>
        <v>30096.52</v>
      </c>
      <c r="G37" s="9">
        <f t="shared" ref="G37" si="395">ROUND(E37*0,2)</f>
        <v>0</v>
      </c>
      <c r="H37" s="9">
        <f t="shared" ref="H37" si="396">E37-F37-G37</f>
        <v>722316.66999999946</v>
      </c>
      <c r="I37" s="9">
        <f t="shared" ref="I37" si="397">ROUND(H37*0,2)</f>
        <v>0</v>
      </c>
      <c r="J37" s="9">
        <f t="shared" ref="J37" si="398">ROUND((I37*0.58)+((I37*0.42)*0.1),2)</f>
        <v>0</v>
      </c>
      <c r="K37" s="9">
        <f t="shared" ref="K37" si="399">ROUND((I37*0.42)*0.9,2)</f>
        <v>0</v>
      </c>
      <c r="L37" s="69">
        <f t="shared" ref="L37" si="400">IF(J37+K37=I37,H37-I37,"ERROR")</f>
        <v>722316.66999999946</v>
      </c>
      <c r="M37" s="9">
        <f t="shared" ref="M37" si="401">ROUND(L37*0.465,2)</f>
        <v>335877.25</v>
      </c>
      <c r="N37" s="9">
        <f>ROUND(L37*0.3,2)+0.02</f>
        <v>216695.02</v>
      </c>
      <c r="O37" s="9">
        <f>ROUND(L37*0.1285,2)</f>
        <v>92817.69</v>
      </c>
      <c r="P37" s="9">
        <f t="shared" ref="P37" si="402">ROUND((L37*0.07)*0.9,2)</f>
        <v>45505.95</v>
      </c>
      <c r="Q37" s="9">
        <f>ROUND(L37*0.01,2)-0.01</f>
        <v>7223.16</v>
      </c>
      <c r="R37" s="9">
        <f t="shared" ref="R37" si="403">ROUND((L37*0.0075)*0.9,2)</f>
        <v>4875.6400000000003</v>
      </c>
      <c r="S37" s="9">
        <f t="shared" ref="S37" si="404">ROUND((L37*0.0075)*0.9,2)</f>
        <v>4875.6400000000003</v>
      </c>
      <c r="T37" s="9">
        <f>ROUND(L37*0.02,2)-0.01</f>
        <v>14446.32</v>
      </c>
      <c r="U37" s="9">
        <f t="shared" ref="U37" si="405">ROUND(L37*0,2)</f>
        <v>0</v>
      </c>
      <c r="V37" s="42">
        <f t="shared" ref="V37" si="406">E37/W37</f>
        <v>1331.7047610619459</v>
      </c>
      <c r="W37" s="10">
        <v>565</v>
      </c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</row>
    <row r="38" spans="1:96" ht="15" customHeight="1" x14ac:dyDescent="0.25">
      <c r="A38" s="8">
        <f>Mountaineer!A38</f>
        <v>44240</v>
      </c>
      <c r="B38" s="9">
        <v>7878851.5899999999</v>
      </c>
      <c r="C38" s="9">
        <v>7165984.6900000004</v>
      </c>
      <c r="D38" s="9">
        <v>55904</v>
      </c>
      <c r="E38" s="9">
        <f t="shared" ref="E38" si="407">B38-C38-D38</f>
        <v>656962.89999999944</v>
      </c>
      <c r="F38" s="9">
        <f>ROUND(E38*0.04,2)</f>
        <v>26278.52</v>
      </c>
      <c r="G38" s="9">
        <f t="shared" ref="G38" si="408">ROUND(E38*0,2)</f>
        <v>0</v>
      </c>
      <c r="H38" s="9">
        <f t="shared" ref="H38" si="409">E38-F38-G38</f>
        <v>630684.37999999942</v>
      </c>
      <c r="I38" s="9">
        <f t="shared" ref="I38" si="410">ROUND(H38*0,2)</f>
        <v>0</v>
      </c>
      <c r="J38" s="9">
        <f t="shared" ref="J38" si="411">ROUND((I38*0.58)+((I38*0.42)*0.1),2)</f>
        <v>0</v>
      </c>
      <c r="K38" s="9">
        <f t="shared" ref="K38" si="412">ROUND((I38*0.42)*0.9,2)</f>
        <v>0</v>
      </c>
      <c r="L38" s="69">
        <f t="shared" ref="L38" si="413">IF(J38+K38=I38,H38-I38,"ERROR")</f>
        <v>630684.37999999942</v>
      </c>
      <c r="M38" s="9">
        <f t="shared" ref="M38" si="414">ROUND(L38*0.465,2)</f>
        <v>293268.24</v>
      </c>
      <c r="N38" s="9">
        <f>ROUND(L38*0.3,2)+0.01</f>
        <v>189205.32</v>
      </c>
      <c r="O38" s="9">
        <f>ROUND(L38*0.1285,2)</f>
        <v>81042.94</v>
      </c>
      <c r="P38" s="9">
        <f t="shared" ref="P38" si="415">ROUND((L38*0.07)*0.9,2)</f>
        <v>39733.120000000003</v>
      </c>
      <c r="Q38" s="9">
        <f>ROUND(L38*0.01,2)</f>
        <v>6306.84</v>
      </c>
      <c r="R38" s="9">
        <f t="shared" ref="R38" si="416">ROUND((L38*0.0075)*0.9,2)</f>
        <v>4257.12</v>
      </c>
      <c r="S38" s="9">
        <f t="shared" ref="S38" si="417">ROUND((L38*0.0075)*0.9,2)</f>
        <v>4257.12</v>
      </c>
      <c r="T38" s="9">
        <v>6945.65</v>
      </c>
      <c r="U38" s="9">
        <v>5668.03</v>
      </c>
      <c r="V38" s="42">
        <f t="shared" ref="V38" si="418">E38/W38</f>
        <v>1177.3528673835115</v>
      </c>
      <c r="W38" s="10">
        <v>558</v>
      </c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</row>
    <row r="39" spans="1:96" ht="15" customHeight="1" x14ac:dyDescent="0.25">
      <c r="A39" s="8">
        <f>Mountaineer!A39</f>
        <v>44247</v>
      </c>
      <c r="B39" s="9">
        <v>7406906.9000000004</v>
      </c>
      <c r="C39" s="9">
        <v>6715060.8499999996</v>
      </c>
      <c r="D39" s="9">
        <v>56075</v>
      </c>
      <c r="E39" s="9">
        <f t="shared" ref="E39" si="419">B39-C39-D39</f>
        <v>635771.05000000075</v>
      </c>
      <c r="F39" s="9">
        <f>ROUND(E39*0.04,2)</f>
        <v>25430.84</v>
      </c>
      <c r="G39" s="9">
        <f t="shared" ref="G39" si="420">ROUND(E39*0,2)</f>
        <v>0</v>
      </c>
      <c r="H39" s="9">
        <f t="shared" ref="H39" si="421">E39-F39-G39</f>
        <v>610340.21000000078</v>
      </c>
      <c r="I39" s="9">
        <f t="shared" ref="I39" si="422">ROUND(H39*0,2)</f>
        <v>0</v>
      </c>
      <c r="J39" s="9">
        <f t="shared" ref="J39" si="423">ROUND((I39*0.58)+((I39*0.42)*0.1),2)</f>
        <v>0</v>
      </c>
      <c r="K39" s="9">
        <f t="shared" ref="K39" si="424">ROUND((I39*0.42)*0.9,2)</f>
        <v>0</v>
      </c>
      <c r="L39" s="69">
        <f t="shared" ref="L39" si="425">IF(J39+K39=I39,H39-I39,"ERROR")</f>
        <v>610340.21000000078</v>
      </c>
      <c r="M39" s="9">
        <f t="shared" ref="M39" si="426">ROUND(L39*0.465,2)</f>
        <v>283808.2</v>
      </c>
      <c r="N39" s="9">
        <f>ROUND(L39*0.3,2)+0.02</f>
        <v>183102.07999999999</v>
      </c>
      <c r="O39" s="9">
        <f>ROUND(L39*0.1285,2)-0.02</f>
        <v>78428.7</v>
      </c>
      <c r="P39" s="9">
        <f t="shared" ref="P39" si="427">ROUND((L39*0.07)*0.9,2)</f>
        <v>38451.43</v>
      </c>
      <c r="Q39" s="9">
        <f>ROUND(L39*0.01,2)</f>
        <v>6103.4</v>
      </c>
      <c r="R39" s="9">
        <f t="shared" ref="R39" si="428">ROUND((L39*0.0075)*0.9,2)</f>
        <v>4119.8</v>
      </c>
      <c r="S39" s="9">
        <f t="shared" ref="S39" si="429">ROUND((L39*0.0075)*0.9,2)</f>
        <v>4119.8</v>
      </c>
      <c r="T39" s="9">
        <f>ROUND(L39*0.02,2)/2</f>
        <v>6103.4</v>
      </c>
      <c r="U39" s="9">
        <f>ROUND(L39*0.02,2)/2</f>
        <v>6103.4</v>
      </c>
      <c r="V39" s="42">
        <f t="shared" ref="V39" si="430">E39/W39</f>
        <v>1164.4158424908439</v>
      </c>
      <c r="W39" s="10">
        <v>546</v>
      </c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</row>
    <row r="40" spans="1:96" ht="15" customHeight="1" x14ac:dyDescent="0.25">
      <c r="A40" s="8">
        <f>Mountaineer!A40</f>
        <v>44254</v>
      </c>
      <c r="B40" s="9">
        <v>10824873.559999999</v>
      </c>
      <c r="C40" s="9">
        <v>9830040.8599999994</v>
      </c>
      <c r="D40" s="9">
        <v>78799</v>
      </c>
      <c r="E40" s="9">
        <f t="shared" ref="E40" si="431">B40-C40-D40</f>
        <v>916033.69999999925</v>
      </c>
      <c r="F40" s="9">
        <f>ROUND(E40*0.04,2)</f>
        <v>36641.35</v>
      </c>
      <c r="G40" s="9">
        <f t="shared" ref="G40" si="432">ROUND(E40*0,2)</f>
        <v>0</v>
      </c>
      <c r="H40" s="9">
        <f t="shared" ref="H40" si="433">E40-F40-G40</f>
        <v>879392.34999999928</v>
      </c>
      <c r="I40" s="9">
        <f t="shared" ref="I40" si="434">ROUND(H40*0,2)</f>
        <v>0</v>
      </c>
      <c r="J40" s="9">
        <f t="shared" ref="J40" si="435">ROUND((I40*0.58)+((I40*0.42)*0.1),2)</f>
        <v>0</v>
      </c>
      <c r="K40" s="9">
        <f t="shared" ref="K40" si="436">ROUND((I40*0.42)*0.9,2)</f>
        <v>0</v>
      </c>
      <c r="L40" s="69">
        <f t="shared" ref="L40" si="437">IF(J40+K40=I40,H40-I40,"ERROR")</f>
        <v>879392.34999999928</v>
      </c>
      <c r="M40" s="9">
        <f t="shared" ref="M40" si="438">ROUND(L40*0.465,2)</f>
        <v>408917.44</v>
      </c>
      <c r="N40" s="9">
        <f>ROUND(L40*0.3,2)+0.04</f>
        <v>263817.75</v>
      </c>
      <c r="O40" s="9">
        <f>ROUND(L40*0.1285,2)-0.04</f>
        <v>113001.88</v>
      </c>
      <c r="P40" s="9">
        <f t="shared" ref="P40" si="439">ROUND((L40*0.07)*0.9,2)</f>
        <v>55401.72</v>
      </c>
      <c r="Q40" s="9">
        <f>ROUND(L40*0.01,2)</f>
        <v>8793.92</v>
      </c>
      <c r="R40" s="9">
        <f t="shared" ref="R40" si="440">ROUND((L40*0.0075)*0.9,2)</f>
        <v>5935.9</v>
      </c>
      <c r="S40" s="9">
        <f t="shared" ref="S40" si="441">ROUND((L40*0.0075)*0.9,2)</f>
        <v>5935.9</v>
      </c>
      <c r="T40" s="9">
        <f>ROUND(L40*0.02,2)/2-0.005</f>
        <v>8793.92</v>
      </c>
      <c r="U40" s="9">
        <f>ROUND(L40*0.02,2)/2-0.005</f>
        <v>8793.92</v>
      </c>
      <c r="V40" s="42">
        <f t="shared" ref="V40" si="442">E40/W40</f>
        <v>1593.1020869565205</v>
      </c>
      <c r="W40" s="10">
        <v>575</v>
      </c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</row>
    <row r="41" spans="1:96" ht="15" customHeight="1" x14ac:dyDescent="0.25">
      <c r="A41" s="8">
        <f>Mountaineer!A41</f>
        <v>44261</v>
      </c>
      <c r="B41" s="9">
        <v>11229278.539999999</v>
      </c>
      <c r="C41" s="9">
        <v>10173840.58</v>
      </c>
      <c r="D41" s="9">
        <v>83239</v>
      </c>
      <c r="E41" s="9">
        <f t="shared" ref="E41" si="443">B41-C41-D41</f>
        <v>972198.95999999903</v>
      </c>
      <c r="F41" s="9">
        <f>ROUND(E41*0.04,2)-0.01</f>
        <v>38887.949999999997</v>
      </c>
      <c r="G41" s="9">
        <f t="shared" ref="G41" si="444">ROUND(E41*0,2)</f>
        <v>0</v>
      </c>
      <c r="H41" s="9">
        <f t="shared" ref="H41" si="445">E41-F41-G41</f>
        <v>933311.00999999908</v>
      </c>
      <c r="I41" s="9">
        <f t="shared" ref="I41" si="446">ROUND(H41*0,2)</f>
        <v>0</v>
      </c>
      <c r="J41" s="9">
        <f t="shared" ref="J41" si="447">ROUND((I41*0.58)+((I41*0.42)*0.1),2)</f>
        <v>0</v>
      </c>
      <c r="K41" s="9">
        <f t="shared" ref="K41" si="448">ROUND((I41*0.42)*0.9,2)</f>
        <v>0</v>
      </c>
      <c r="L41" s="69">
        <f t="shared" ref="L41" si="449">IF(J41+K41=I41,H41-I41,"ERROR")</f>
        <v>933311.00999999908</v>
      </c>
      <c r="M41" s="9">
        <f t="shared" ref="M41" si="450">ROUND(L41*0.465,2)</f>
        <v>433989.62</v>
      </c>
      <c r="N41" s="9">
        <f>ROUND(L41*0.3,2)-0.05</f>
        <v>279993.25</v>
      </c>
      <c r="O41" s="9">
        <f>ROUND(L41*0.1285,2)+0.03</f>
        <v>119930.49</v>
      </c>
      <c r="P41" s="9">
        <f t="shared" ref="P41" si="451">ROUND((L41*0.07)*0.9,2)</f>
        <v>58798.59</v>
      </c>
      <c r="Q41" s="9">
        <f>ROUND(L41*0.01,2)+0.01</f>
        <v>9333.1200000000008</v>
      </c>
      <c r="R41" s="9">
        <f t="shared" ref="R41" si="452">ROUND((L41*0.0075)*0.9,2)</f>
        <v>6299.85</v>
      </c>
      <c r="S41" s="9">
        <f t="shared" ref="S41" si="453">ROUND((L41*0.0075)*0.9,2)</f>
        <v>6299.85</v>
      </c>
      <c r="T41" s="9">
        <f>ROUND(L41*0.02,2)/2+0.01</f>
        <v>9333.1200000000008</v>
      </c>
      <c r="U41" s="9">
        <f>ROUND(L41*0.02,2)/2+0.01</f>
        <v>9333.1200000000008</v>
      </c>
      <c r="V41" s="42">
        <f t="shared" ref="V41" si="454">E41/W41</f>
        <v>1702.6251488616444</v>
      </c>
      <c r="W41" s="10">
        <v>571</v>
      </c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</row>
    <row r="42" spans="1:96" ht="15" customHeight="1" x14ac:dyDescent="0.25">
      <c r="A42" s="8">
        <f>Mountaineer!A42</f>
        <v>44268</v>
      </c>
      <c r="B42" s="9">
        <v>11699206.75</v>
      </c>
      <c r="C42" s="9">
        <v>10620309.950000001</v>
      </c>
      <c r="D42" s="9">
        <v>82669</v>
      </c>
      <c r="E42" s="9">
        <f t="shared" ref="E42" si="455">B42-C42-D42</f>
        <v>996227.79999999888</v>
      </c>
      <c r="F42" s="9">
        <f>ROUND(E42*0.04,2)</f>
        <v>39849.11</v>
      </c>
      <c r="G42" s="9">
        <f t="shared" ref="G42" si="456">ROUND(E42*0,2)</f>
        <v>0</v>
      </c>
      <c r="H42" s="9">
        <f t="shared" ref="H42" si="457">E42-F42-G42</f>
        <v>956378.6899999989</v>
      </c>
      <c r="I42" s="9">
        <f t="shared" ref="I42" si="458">ROUND(H42*0,2)</f>
        <v>0</v>
      </c>
      <c r="J42" s="9">
        <f t="shared" ref="J42" si="459">ROUND((I42*0.58)+((I42*0.42)*0.1),2)</f>
        <v>0</v>
      </c>
      <c r="K42" s="9">
        <f t="shared" ref="K42" si="460">ROUND((I42*0.42)*0.9,2)</f>
        <v>0</v>
      </c>
      <c r="L42" s="69">
        <f t="shared" ref="L42" si="461">IF(J42+K42=I42,H42-I42,"ERROR")</f>
        <v>956378.6899999989</v>
      </c>
      <c r="M42" s="9">
        <f t="shared" ref="M42" si="462">ROUND(L42*0.465,2)</f>
        <v>444716.09</v>
      </c>
      <c r="N42" s="9">
        <f>ROUND(L42*0.3,2)+0.03</f>
        <v>286913.64</v>
      </c>
      <c r="O42" s="9">
        <f>ROUND(L42*0.1285,2)-0.02</f>
        <v>122894.64</v>
      </c>
      <c r="P42" s="9">
        <f t="shared" ref="P42" si="463">ROUND((L42*0.07)*0.9,2)</f>
        <v>60251.86</v>
      </c>
      <c r="Q42" s="9">
        <f>ROUND(L42*0.01,2)-0.01</f>
        <v>9563.7800000000007</v>
      </c>
      <c r="R42" s="9">
        <f t="shared" ref="R42" si="464">ROUND((L42*0.0075)*0.9,2)</f>
        <v>6455.56</v>
      </c>
      <c r="S42" s="9">
        <f t="shared" ref="S42" si="465">ROUND((L42*0.0075)*0.9,2)</f>
        <v>6455.56</v>
      </c>
      <c r="T42" s="9">
        <f>ROUND(L42*0.02,2)/2-0.005</f>
        <v>9563.7800000000007</v>
      </c>
      <c r="U42" s="9">
        <f>ROUND(L42*0.02,2)/2-0.005</f>
        <v>9563.7800000000007</v>
      </c>
      <c r="V42" s="42">
        <f t="shared" ref="V42" si="466">E42/W42</f>
        <v>1798.2451263537887</v>
      </c>
      <c r="W42" s="10">
        <v>554</v>
      </c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</row>
    <row r="43" spans="1:96" ht="15" customHeight="1" x14ac:dyDescent="0.25">
      <c r="A43" s="8">
        <f>Mountaineer!A43</f>
        <v>44275</v>
      </c>
      <c r="B43" s="9">
        <v>13920334.710000001</v>
      </c>
      <c r="C43" s="9">
        <v>12652632.940000001</v>
      </c>
      <c r="D43" s="9">
        <v>89768</v>
      </c>
      <c r="E43" s="9">
        <f t="shared" ref="E43" si="467">B43-C43-D43</f>
        <v>1177933.7699999996</v>
      </c>
      <c r="F43" s="9">
        <f>ROUND(E43*0.04,2)+0.01</f>
        <v>47117.36</v>
      </c>
      <c r="G43" s="9">
        <f t="shared" ref="G43" si="468">ROUND(E43*0,2)</f>
        <v>0</v>
      </c>
      <c r="H43" s="9">
        <f t="shared" ref="H43" si="469">E43-F43-G43</f>
        <v>1130816.4099999995</v>
      </c>
      <c r="I43" s="9">
        <f t="shared" ref="I43" si="470">ROUND(H43*0,2)</f>
        <v>0</v>
      </c>
      <c r="J43" s="9">
        <f t="shared" ref="J43" si="471">ROUND((I43*0.58)+((I43*0.42)*0.1),2)</f>
        <v>0</v>
      </c>
      <c r="K43" s="9">
        <f t="shared" ref="K43" si="472">ROUND((I43*0.42)*0.9,2)</f>
        <v>0</v>
      </c>
      <c r="L43" s="69">
        <f t="shared" ref="L43" si="473">IF(J43+K43=I43,H43-I43,"ERROR")</f>
        <v>1130816.4099999995</v>
      </c>
      <c r="M43" s="9">
        <f t="shared" ref="M43" si="474">ROUND(L43*0.465,2)</f>
        <v>525829.63</v>
      </c>
      <c r="N43" s="9">
        <f>ROUND(L43*0.3,2)+0.03</f>
        <v>339244.95</v>
      </c>
      <c r="O43" s="9">
        <f>ROUND(L43*0.1285,2)-0.01</f>
        <v>145309.9</v>
      </c>
      <c r="P43" s="9">
        <f t="shared" ref="P43" si="475">ROUND((L43*0.07)*0.9,2)</f>
        <v>71241.429999999993</v>
      </c>
      <c r="Q43" s="9">
        <f>ROUND(L43*0.01,2)</f>
        <v>11308.16</v>
      </c>
      <c r="R43" s="9">
        <f t="shared" ref="R43" si="476">ROUND((L43*0.0075)*0.9,2)</f>
        <v>7633.01</v>
      </c>
      <c r="S43" s="9">
        <f t="shared" ref="S43" si="477">ROUND((L43*0.0075)*0.9,2)</f>
        <v>7633.01</v>
      </c>
      <c r="T43" s="9">
        <f>ROUND(L43*0.02,2)/2-0.005</f>
        <v>11308.160000000002</v>
      </c>
      <c r="U43" s="9">
        <f>ROUND(L43*0.02,2)/2-0.005</f>
        <v>11308.160000000002</v>
      </c>
      <c r="V43" s="42">
        <f t="shared" ref="V43" si="478">E43/W43</f>
        <v>2070.1823725834788</v>
      </c>
      <c r="W43" s="10">
        <v>569</v>
      </c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</row>
    <row r="44" spans="1:96" ht="15" customHeight="1" x14ac:dyDescent="0.25">
      <c r="A44" s="8">
        <f>Mountaineer!A44</f>
        <v>44282</v>
      </c>
      <c r="B44" s="9">
        <v>12375825.93</v>
      </c>
      <c r="C44" s="9">
        <v>11182951.149999999</v>
      </c>
      <c r="D44" s="9">
        <v>87593</v>
      </c>
      <c r="E44" s="9">
        <f t="shared" ref="E44" si="479">B44-C44-D44</f>
        <v>1105281.7800000012</v>
      </c>
      <c r="F44" s="9">
        <f>ROUND(E44*0.04,2)</f>
        <v>44211.27</v>
      </c>
      <c r="G44" s="9">
        <f t="shared" ref="G44" si="480">ROUND(E44*0,2)</f>
        <v>0</v>
      </c>
      <c r="H44" s="9">
        <f t="shared" ref="H44" si="481">E44-F44-G44</f>
        <v>1061070.5100000012</v>
      </c>
      <c r="I44" s="9">
        <f t="shared" ref="I44" si="482">ROUND(H44*0,2)</f>
        <v>0</v>
      </c>
      <c r="J44" s="9">
        <f t="shared" ref="J44" si="483">ROUND((I44*0.58)+((I44*0.42)*0.1),2)</f>
        <v>0</v>
      </c>
      <c r="K44" s="9">
        <f t="shared" ref="K44" si="484">ROUND((I44*0.42)*0.9,2)</f>
        <v>0</v>
      </c>
      <c r="L44" s="69">
        <f t="shared" ref="L44" si="485">IF(J44+K44=I44,H44-I44,"ERROR")</f>
        <v>1061070.5100000012</v>
      </c>
      <c r="M44" s="9">
        <f t="shared" ref="M44" si="486">ROUND(L44*0.465,2)</f>
        <v>493397.79</v>
      </c>
      <c r="N44" s="9">
        <f>ROUND(L44*0.3,2)+0.02</f>
        <v>318321.17000000004</v>
      </c>
      <c r="O44" s="9">
        <f>ROUND(L44*0.1285,2)-0.01</f>
        <v>136347.54999999999</v>
      </c>
      <c r="P44" s="9">
        <f t="shared" ref="P44" si="487">ROUND((L44*0.07)*0.9,2)</f>
        <v>66847.44</v>
      </c>
      <c r="Q44" s="9">
        <f>ROUND(L44*0.01,2)-0.01</f>
        <v>10610.699999999999</v>
      </c>
      <c r="R44" s="9">
        <f t="shared" ref="R44" si="488">ROUND((L44*0.0075)*0.9,2)</f>
        <v>7162.23</v>
      </c>
      <c r="S44" s="9">
        <f t="shared" ref="S44" si="489">ROUND((L44*0.0075)*0.9,2)</f>
        <v>7162.23</v>
      </c>
      <c r="T44" s="9">
        <f>ROUND(L44*0.02,2)/2-0.005</f>
        <v>10610.7</v>
      </c>
      <c r="U44" s="9">
        <f>ROUND(L44*0.02,2)/2-0.005</f>
        <v>10610.7</v>
      </c>
      <c r="V44" s="42">
        <f t="shared" ref="V44" si="490">E44/W44</f>
        <v>1922.2291826086978</v>
      </c>
      <c r="W44" s="10">
        <v>575</v>
      </c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</row>
    <row r="45" spans="1:96" ht="15" customHeight="1" x14ac:dyDescent="0.25">
      <c r="A45" s="8">
        <f>Mountaineer!A45</f>
        <v>44289</v>
      </c>
      <c r="B45" s="9">
        <v>12459612.08</v>
      </c>
      <c r="C45" s="9">
        <v>11280271.76</v>
      </c>
      <c r="D45" s="9">
        <v>85397</v>
      </c>
      <c r="E45" s="9">
        <f t="shared" ref="E45" si="491">B45-C45-D45</f>
        <v>1093943.3200000003</v>
      </c>
      <c r="F45" s="9">
        <f>ROUND(E45*0.04,2)</f>
        <v>43757.73</v>
      </c>
      <c r="G45" s="9">
        <f t="shared" ref="G45" si="492">ROUND(E45*0,2)</f>
        <v>0</v>
      </c>
      <c r="H45" s="9">
        <f t="shared" ref="H45" si="493">E45-F45-G45</f>
        <v>1050185.5900000003</v>
      </c>
      <c r="I45" s="9">
        <f t="shared" ref="I45" si="494">ROUND(H45*0,2)</f>
        <v>0</v>
      </c>
      <c r="J45" s="9">
        <f t="shared" ref="J45" si="495">ROUND((I45*0.58)+((I45*0.42)*0.1),2)</f>
        <v>0</v>
      </c>
      <c r="K45" s="9">
        <f t="shared" ref="K45" si="496">ROUND((I45*0.42)*0.9,2)</f>
        <v>0</v>
      </c>
      <c r="L45" s="69">
        <f t="shared" ref="L45" si="497">IF(J45+K45=I45,H45-I45,"ERROR")</f>
        <v>1050185.5900000003</v>
      </c>
      <c r="M45" s="9">
        <f t="shared" ref="M45" si="498">ROUND(L45*0.465,2)</f>
        <v>488336.3</v>
      </c>
      <c r="N45" s="9">
        <f>ROUND(L45*0.3,2)-0.03</f>
        <v>315055.64999999997</v>
      </c>
      <c r="O45" s="9">
        <f>ROUND(L45*0.1285,2)+0.02</f>
        <v>134948.87</v>
      </c>
      <c r="P45" s="9">
        <f t="shared" ref="P45" si="499">ROUND((L45*0.07)*0.9,2)</f>
        <v>66161.69</v>
      </c>
      <c r="Q45" s="9">
        <f>ROUND(L45*0.01,2)</f>
        <v>10501.86</v>
      </c>
      <c r="R45" s="9">
        <f t="shared" ref="R45" si="500">ROUND((L45*0.0075)*0.9,2)</f>
        <v>7088.75</v>
      </c>
      <c r="S45" s="9">
        <f t="shared" ref="S45" si="501">ROUND((L45*0.0075)*0.9,2)</f>
        <v>7088.75</v>
      </c>
      <c r="T45" s="9">
        <f>ROUND(L45*0.02,2)/2+0.005</f>
        <v>10501.859999999999</v>
      </c>
      <c r="U45" s="9">
        <f>ROUND(L45*0.02,2)/2+0.005</f>
        <v>10501.859999999999</v>
      </c>
      <c r="V45" s="42">
        <f t="shared" ref="V45" si="502">E45/W45</f>
        <v>1915.8376882662001</v>
      </c>
      <c r="W45" s="10">
        <v>571</v>
      </c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</row>
    <row r="46" spans="1:96" ht="15" customHeight="1" x14ac:dyDescent="0.25">
      <c r="A46" s="8">
        <f>Mountaineer!A46</f>
        <v>44296</v>
      </c>
      <c r="B46" s="9">
        <v>11899699.949999999</v>
      </c>
      <c r="C46" s="9">
        <v>10797547.689999998</v>
      </c>
      <c r="D46" s="9">
        <v>83677</v>
      </c>
      <c r="E46" s="9">
        <f t="shared" ref="E46" si="503">B46-C46-D46</f>
        <v>1018475.2600000016</v>
      </c>
      <c r="F46" s="9">
        <f>ROUND(E46*0.04,2)-0.01</f>
        <v>40739</v>
      </c>
      <c r="G46" s="9">
        <f t="shared" ref="G46" si="504">ROUND(E46*0,2)</f>
        <v>0</v>
      </c>
      <c r="H46" s="9">
        <f t="shared" ref="H46" si="505">E46-F46-G46</f>
        <v>977736.26000000164</v>
      </c>
      <c r="I46" s="9">
        <f t="shared" ref="I46" si="506">ROUND(H46*0,2)</f>
        <v>0</v>
      </c>
      <c r="J46" s="9">
        <f t="shared" ref="J46" si="507">ROUND((I46*0.58)+((I46*0.42)*0.1),2)</f>
        <v>0</v>
      </c>
      <c r="K46" s="9">
        <f t="shared" ref="K46" si="508">ROUND((I46*0.42)*0.9,2)</f>
        <v>0</v>
      </c>
      <c r="L46" s="69">
        <f t="shared" ref="L46" si="509">IF(J46+K46=I46,H46-I46,"ERROR")</f>
        <v>977736.26000000164</v>
      </c>
      <c r="M46" s="9">
        <f t="shared" ref="M46" si="510">ROUND(L46*0.465,2)</f>
        <v>454647.36</v>
      </c>
      <c r="N46" s="9">
        <f>ROUND(L46*0.3,2)+0.01</f>
        <v>293320.89</v>
      </c>
      <c r="O46" s="9">
        <f>ROUND(L46*0.1285,2)</f>
        <v>125639.11</v>
      </c>
      <c r="P46" s="9">
        <f t="shared" ref="P46" si="511">ROUND((L46*0.07)*0.9,2)</f>
        <v>61597.38</v>
      </c>
      <c r="Q46" s="9">
        <f>ROUND(L46*0.01,2)</f>
        <v>9777.36</v>
      </c>
      <c r="R46" s="9">
        <f t="shared" ref="R46" si="512">ROUND((L46*0.0075)*0.9,2)</f>
        <v>6599.72</v>
      </c>
      <c r="S46" s="9">
        <f t="shared" ref="S46" si="513">ROUND((L46*0.0075)*0.9,2)</f>
        <v>6599.72</v>
      </c>
      <c r="T46" s="9">
        <f>ROUND(L46*0.02,2)/2-0.005</f>
        <v>9777.36</v>
      </c>
      <c r="U46" s="9">
        <f>ROUND(L46*0.02,2)/2-0.005</f>
        <v>9777.36</v>
      </c>
      <c r="V46" s="42">
        <f t="shared" ref="V46" si="514">E46/W46</f>
        <v>1768.1862152777805</v>
      </c>
      <c r="W46" s="10">
        <v>576</v>
      </c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</row>
    <row r="47" spans="1:96" ht="15" customHeight="1" x14ac:dyDescent="0.25">
      <c r="A47" s="8">
        <f>Mountaineer!A47</f>
        <v>44303</v>
      </c>
      <c r="B47" s="9">
        <v>12476927.73</v>
      </c>
      <c r="C47" s="9">
        <v>11337383.74</v>
      </c>
      <c r="D47" s="9">
        <v>94275</v>
      </c>
      <c r="E47" s="9">
        <f t="shared" ref="E47" si="515">B47-C47-D47</f>
        <v>1045268.9900000002</v>
      </c>
      <c r="F47" s="9">
        <f>ROUND(E47*0.04,2)+0.01</f>
        <v>41810.770000000004</v>
      </c>
      <c r="G47" s="9">
        <f t="shared" ref="G47" si="516">ROUND(E47*0,2)</f>
        <v>0</v>
      </c>
      <c r="H47" s="9">
        <f t="shared" ref="H47" si="517">E47-F47-G47</f>
        <v>1003458.2200000002</v>
      </c>
      <c r="I47" s="9">
        <f t="shared" ref="I47" si="518">ROUND(H47*0,2)</f>
        <v>0</v>
      </c>
      <c r="J47" s="9">
        <f t="shared" ref="J47" si="519">ROUND((I47*0.58)+((I47*0.42)*0.1),2)</f>
        <v>0</v>
      </c>
      <c r="K47" s="9">
        <f t="shared" ref="K47" si="520">ROUND((I47*0.42)*0.9,2)</f>
        <v>0</v>
      </c>
      <c r="L47" s="69">
        <f t="shared" ref="L47" si="521">IF(J47+K47=I47,H47-I47,"ERROR")</f>
        <v>1003458.2200000002</v>
      </c>
      <c r="M47" s="9">
        <f t="shared" ref="M47" si="522">ROUND(L47*0.465,2)</f>
        <v>466608.07</v>
      </c>
      <c r="N47" s="9">
        <f>ROUND(L47*0.3,2)-0.01</f>
        <v>301037.45999999996</v>
      </c>
      <c r="O47" s="9">
        <f>ROUND(L47*0.1285,2)+0.02</f>
        <v>128944.40000000001</v>
      </c>
      <c r="P47" s="9">
        <f t="shared" ref="P47" si="523">ROUND((L47*0.07)*0.9,2)</f>
        <v>63217.87</v>
      </c>
      <c r="Q47" s="9">
        <f>ROUND(L47*0.01,2)</f>
        <v>10034.58</v>
      </c>
      <c r="R47" s="9">
        <f t="shared" ref="R47" si="524">ROUND((L47*0.0075)*0.9,2)</f>
        <v>6773.34</v>
      </c>
      <c r="S47" s="9">
        <f t="shared" ref="S47" si="525">ROUND((L47*0.0075)*0.9,2)</f>
        <v>6773.34</v>
      </c>
      <c r="T47" s="9">
        <f>ROUND(L47*0.02,2)/2</f>
        <v>10034.58</v>
      </c>
      <c r="U47" s="9">
        <f>ROUND(L47*0.02,2)/2</f>
        <v>10034.58</v>
      </c>
      <c r="V47" s="42">
        <f t="shared" ref="V47" si="526">E47/W47</f>
        <v>1802.1879137931039</v>
      </c>
      <c r="W47" s="10">
        <v>580</v>
      </c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</row>
    <row r="48" spans="1:96" ht="15" customHeight="1" x14ac:dyDescent="0.25">
      <c r="A48" s="8">
        <f>Mountaineer!A48</f>
        <v>44310</v>
      </c>
      <c r="B48" s="9">
        <v>13046784.770000001</v>
      </c>
      <c r="C48" s="9">
        <v>11857028.470000001</v>
      </c>
      <c r="D48" s="9">
        <v>102091</v>
      </c>
      <c r="E48" s="9">
        <f t="shared" ref="E48" si="527">B48-C48-D48</f>
        <v>1087665.3000000007</v>
      </c>
      <c r="F48" s="9">
        <f>ROUND(E48*0.04,2)</f>
        <v>43506.61</v>
      </c>
      <c r="G48" s="9">
        <f t="shared" ref="G48" si="528">ROUND(E48*0,2)</f>
        <v>0</v>
      </c>
      <c r="H48" s="9">
        <f t="shared" ref="H48" si="529">E48-F48-G48</f>
        <v>1044158.6900000008</v>
      </c>
      <c r="I48" s="9">
        <f t="shared" ref="I48" si="530">ROUND(H48*0,2)</f>
        <v>0</v>
      </c>
      <c r="J48" s="9">
        <f t="shared" ref="J48" si="531">ROUND((I48*0.58)+((I48*0.42)*0.1),2)</f>
        <v>0</v>
      </c>
      <c r="K48" s="9">
        <f t="shared" ref="K48" si="532">ROUND((I48*0.42)*0.9,2)</f>
        <v>0</v>
      </c>
      <c r="L48" s="69">
        <f t="shared" ref="L48" si="533">IF(J48+K48=I48,H48-I48,"ERROR")</f>
        <v>1044158.6900000008</v>
      </c>
      <c r="M48" s="9">
        <f t="shared" ref="M48" si="534">ROUND(L48*0.465,2)</f>
        <v>485533.79</v>
      </c>
      <c r="N48" s="9">
        <f>ROUND(L48*0.3,2)+0.03</f>
        <v>313247.64</v>
      </c>
      <c r="O48" s="9">
        <f>ROUND(L48*0.1285,2)-0.01</f>
        <v>134174.38</v>
      </c>
      <c r="P48" s="9">
        <f t="shared" ref="P48" si="535">ROUND((L48*0.07)*0.9,2)</f>
        <v>65782</v>
      </c>
      <c r="Q48" s="9">
        <f>ROUND(L48*0.01,2)-0.01</f>
        <v>10441.58</v>
      </c>
      <c r="R48" s="9">
        <f t="shared" ref="R48" si="536">ROUND((L48*0.0075)*0.9,2)</f>
        <v>7048.07</v>
      </c>
      <c r="S48" s="9">
        <f t="shared" ref="S48" si="537">ROUND((L48*0.0075)*0.9,2)</f>
        <v>7048.07</v>
      </c>
      <c r="T48" s="9">
        <f>ROUND(L48*0.02,2)/2-0.005</f>
        <v>10441.58</v>
      </c>
      <c r="U48" s="9">
        <f>ROUND(L48*0.02,2)/2-0.005</f>
        <v>10441.58</v>
      </c>
      <c r="V48" s="42">
        <f t="shared" ref="V48" si="538">E48/W48</f>
        <v>1878.5238341968925</v>
      </c>
      <c r="W48" s="10">
        <v>579</v>
      </c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</row>
    <row r="49" spans="1:96" ht="15" customHeight="1" x14ac:dyDescent="0.25">
      <c r="A49" s="8">
        <f>Mountaineer!A49</f>
        <v>44317</v>
      </c>
      <c r="B49" s="9">
        <v>12925293.91</v>
      </c>
      <c r="C49" s="9">
        <v>11695659.149999999</v>
      </c>
      <c r="D49" s="9">
        <v>93064</v>
      </c>
      <c r="E49" s="9">
        <f t="shared" ref="E49" si="539">B49-C49-D49</f>
        <v>1136570.7600000016</v>
      </c>
      <c r="F49" s="9">
        <f>ROUND(E49*0.04,2)</f>
        <v>45462.83</v>
      </c>
      <c r="G49" s="9">
        <f t="shared" ref="G49" si="540">ROUND(E49*0,2)</f>
        <v>0</v>
      </c>
      <c r="H49" s="9">
        <f t="shared" ref="H49" si="541">E49-F49-G49</f>
        <v>1091107.9300000016</v>
      </c>
      <c r="I49" s="9">
        <f t="shared" ref="I49" si="542">ROUND(H49*0,2)</f>
        <v>0</v>
      </c>
      <c r="J49" s="9">
        <f t="shared" ref="J49" si="543">ROUND((I49*0.58)+((I49*0.42)*0.1),2)</f>
        <v>0</v>
      </c>
      <c r="K49" s="9">
        <f t="shared" ref="K49" si="544">ROUND((I49*0.42)*0.9,2)</f>
        <v>0</v>
      </c>
      <c r="L49" s="69">
        <f t="shared" ref="L49" si="545">IF(J49+K49=I49,H49-I49,"ERROR")</f>
        <v>1091107.9300000016</v>
      </c>
      <c r="M49" s="9">
        <f t="shared" ref="M49" si="546">ROUND(L49*0.465,2)</f>
        <v>507365.19</v>
      </c>
      <c r="N49" s="9">
        <f>ROUND(L49*0.3,2)-0.01</f>
        <v>327332.37</v>
      </c>
      <c r="O49" s="9">
        <f>ROUND(L49*0.1285,2)</f>
        <v>140207.37</v>
      </c>
      <c r="P49" s="9">
        <f t="shared" ref="P49" si="547">ROUND((L49*0.07)*0.9,2)</f>
        <v>68739.8</v>
      </c>
      <c r="Q49" s="9">
        <f>ROUND(L49*0.01,2)</f>
        <v>10911.08</v>
      </c>
      <c r="R49" s="9">
        <f t="shared" ref="R49" si="548">ROUND((L49*0.0075)*0.9,2)</f>
        <v>7364.98</v>
      </c>
      <c r="S49" s="9">
        <f t="shared" ref="S49" si="549">ROUND((L49*0.0075)*0.9,2)</f>
        <v>7364.98</v>
      </c>
      <c r="T49" s="9">
        <f>ROUND(L49*0.02,2)/2</f>
        <v>10911.08</v>
      </c>
      <c r="U49" s="9">
        <f>ROUND(L49*0.02,2)/2</f>
        <v>10911.08</v>
      </c>
      <c r="V49" s="42">
        <f t="shared" ref="V49" si="550">E49/W49</f>
        <v>1966.3853979238784</v>
      </c>
      <c r="W49" s="10">
        <v>578</v>
      </c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</row>
    <row r="50" spans="1:96" ht="15" customHeight="1" x14ac:dyDescent="0.25">
      <c r="A50" s="8">
        <f>Mountaineer!A50</f>
        <v>44324</v>
      </c>
      <c r="B50" s="9">
        <v>11483279.739999998</v>
      </c>
      <c r="C50" s="9">
        <v>10404900.76</v>
      </c>
      <c r="D50" s="9">
        <v>89748</v>
      </c>
      <c r="E50" s="9">
        <f t="shared" ref="E50" si="551">B50-C50-D50</f>
        <v>988630.97999999858</v>
      </c>
      <c r="F50" s="9">
        <f>ROUND(E50*0.04,2)</f>
        <v>39545.24</v>
      </c>
      <c r="G50" s="9">
        <f t="shared" ref="G50" si="552">ROUND(E50*0,2)</f>
        <v>0</v>
      </c>
      <c r="H50" s="9">
        <f t="shared" ref="H50" si="553">E50-F50-G50</f>
        <v>949085.73999999859</v>
      </c>
      <c r="I50" s="9">
        <f t="shared" ref="I50" si="554">ROUND(H50*0,2)</f>
        <v>0</v>
      </c>
      <c r="J50" s="9">
        <f t="shared" ref="J50" si="555">ROUND((I50*0.58)+((I50*0.42)*0.1),2)</f>
        <v>0</v>
      </c>
      <c r="K50" s="9">
        <f t="shared" ref="K50" si="556">ROUND((I50*0.42)*0.9,2)</f>
        <v>0</v>
      </c>
      <c r="L50" s="69">
        <f t="shared" ref="L50" si="557">IF(J50+K50=I50,H50-I50,"ERROR")</f>
        <v>949085.73999999859</v>
      </c>
      <c r="M50" s="9">
        <f t="shared" ref="M50" si="558">ROUND(L50*0.465,2)</f>
        <v>441324.87</v>
      </c>
      <c r="N50" s="9">
        <f>ROUND(L50*0.3,2)</f>
        <v>284725.71999999997</v>
      </c>
      <c r="O50" s="9">
        <f>ROUND(L50*0.1285,2)-0.01</f>
        <v>121957.51000000001</v>
      </c>
      <c r="P50" s="9">
        <f t="shared" ref="P50" si="559">ROUND((L50*0.07)*0.9,2)</f>
        <v>59792.4</v>
      </c>
      <c r="Q50" s="9">
        <f>ROUND(L50*0.01,2)</f>
        <v>9490.86</v>
      </c>
      <c r="R50" s="9">
        <f t="shared" ref="R50" si="560">ROUND((L50*0.0075)*0.9,2)</f>
        <v>6406.33</v>
      </c>
      <c r="S50" s="9">
        <f t="shared" ref="S50" si="561">ROUND((L50*0.0075)*0.9,2)</f>
        <v>6406.33</v>
      </c>
      <c r="T50" s="9">
        <f>ROUND(L50*0.02,2)/2+0.005</f>
        <v>9490.8599999999988</v>
      </c>
      <c r="U50" s="9">
        <f>ROUND(L50*0.02,2)/2+0.005</f>
        <v>9490.8599999999988</v>
      </c>
      <c r="V50" s="42">
        <f t="shared" ref="V50" si="562">E50/W50</f>
        <v>1710.4342214532846</v>
      </c>
      <c r="W50" s="10">
        <v>578</v>
      </c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</row>
    <row r="51" spans="1:96" ht="15" customHeight="1" x14ac:dyDescent="0.25">
      <c r="A51" s="8">
        <f>Mountaineer!A51</f>
        <v>44331</v>
      </c>
      <c r="B51" s="9">
        <v>10871528.379999999</v>
      </c>
      <c r="C51" s="9">
        <v>9869212.6700000018</v>
      </c>
      <c r="D51" s="9">
        <v>84526</v>
      </c>
      <c r="E51" s="9">
        <f t="shared" ref="E51" si="563">B51-C51-D51</f>
        <v>917789.70999999717</v>
      </c>
      <c r="F51" s="9">
        <f>ROUND(E51*0.04,2)</f>
        <v>36711.589999999997</v>
      </c>
      <c r="G51" s="9">
        <f t="shared" ref="G51" si="564">ROUND(E51*0,2)</f>
        <v>0</v>
      </c>
      <c r="H51" s="9">
        <f t="shared" ref="H51" si="565">E51-F51-G51</f>
        <v>881078.1199999972</v>
      </c>
      <c r="I51" s="9">
        <f t="shared" ref="I51" si="566">ROUND(H51*0,2)</f>
        <v>0</v>
      </c>
      <c r="J51" s="9">
        <f t="shared" ref="J51" si="567">ROUND((I51*0.58)+((I51*0.42)*0.1),2)</f>
        <v>0</v>
      </c>
      <c r="K51" s="9">
        <f t="shared" ref="K51" si="568">ROUND((I51*0.42)*0.9,2)</f>
        <v>0</v>
      </c>
      <c r="L51" s="69">
        <f t="shared" ref="L51" si="569">IF(J51+K51=I51,H51-I51,"ERROR")</f>
        <v>881078.1199999972</v>
      </c>
      <c r="M51" s="9">
        <f t="shared" ref="M51" si="570">ROUND(L51*0.465,2)</f>
        <v>409701.33</v>
      </c>
      <c r="N51" s="9">
        <f>ROUND(L51*0.3,2)</f>
        <v>264323.44</v>
      </c>
      <c r="O51" s="9">
        <f>ROUND(L51*0.1285,2)-0.01</f>
        <v>113218.53</v>
      </c>
      <c r="P51" s="9">
        <f t="shared" ref="P51" si="571">ROUND((L51*0.07)*0.9,2)</f>
        <v>55507.92</v>
      </c>
      <c r="Q51" s="9">
        <f>ROUND(L51*0.01,2)</f>
        <v>8810.7800000000007</v>
      </c>
      <c r="R51" s="9">
        <f t="shared" ref="R51" si="572">ROUND((L51*0.0075)*0.9,2)</f>
        <v>5947.28</v>
      </c>
      <c r="S51" s="9">
        <f t="shared" ref="S51" si="573">ROUND((L51*0.0075)*0.9,2)</f>
        <v>5947.28</v>
      </c>
      <c r="T51" s="9">
        <f>ROUND(L51*0.02,2)/2</f>
        <v>8810.7800000000007</v>
      </c>
      <c r="U51" s="9">
        <f>ROUND(L51*0.02,2)/2</f>
        <v>8810.7800000000007</v>
      </c>
      <c r="V51" s="42">
        <f t="shared" ref="V51" si="574">E51/W51</f>
        <v>1568.8712991452944</v>
      </c>
      <c r="W51" s="10">
        <v>585</v>
      </c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</row>
    <row r="52" spans="1:96" ht="15" customHeight="1" x14ac:dyDescent="0.25">
      <c r="A52" s="8">
        <f>Mountaineer!A52</f>
        <v>44338</v>
      </c>
      <c r="B52" s="9">
        <v>10384788.99</v>
      </c>
      <c r="C52" s="9">
        <v>9411241.3499999996</v>
      </c>
      <c r="D52" s="9">
        <v>90211</v>
      </c>
      <c r="E52" s="9">
        <f t="shared" ref="E52" si="575">B52-C52-D52</f>
        <v>883336.6400000006</v>
      </c>
      <c r="F52" s="9">
        <f>ROUND(E52*0.04,2)-0.01</f>
        <v>35333.46</v>
      </c>
      <c r="G52" s="9">
        <f t="shared" ref="G52" si="576">ROUND(E52*0,2)</f>
        <v>0</v>
      </c>
      <c r="H52" s="9">
        <f t="shared" ref="H52" si="577">E52-F52-G52</f>
        <v>848003.18000000063</v>
      </c>
      <c r="I52" s="9">
        <f t="shared" ref="I52" si="578">ROUND(H52*0,2)</f>
        <v>0</v>
      </c>
      <c r="J52" s="9">
        <f t="shared" ref="J52" si="579">ROUND((I52*0.58)+((I52*0.42)*0.1),2)</f>
        <v>0</v>
      </c>
      <c r="K52" s="9">
        <f t="shared" ref="K52" si="580">ROUND((I52*0.42)*0.9,2)</f>
        <v>0</v>
      </c>
      <c r="L52" s="69">
        <f t="shared" ref="L52" si="581">IF(J52+K52=I52,H52-I52,"ERROR")</f>
        <v>848003.18000000063</v>
      </c>
      <c r="M52" s="9">
        <f t="shared" ref="M52" si="582">ROUND(L52*0.465,2)</f>
        <v>394321.48</v>
      </c>
      <c r="N52" s="9">
        <f>ROUND(L52*0.3,2)-0.02</f>
        <v>254400.93000000002</v>
      </c>
      <c r="O52" s="9">
        <f>ROUND(L52*0.1285,2)</f>
        <v>108968.41</v>
      </c>
      <c r="P52" s="9">
        <f t="shared" ref="P52" si="583">ROUND((L52*0.07)*0.9,2)</f>
        <v>53424.2</v>
      </c>
      <c r="Q52" s="9">
        <f>ROUND(L52*0.01,2)+0.01</f>
        <v>8480.0400000000009</v>
      </c>
      <c r="R52" s="9">
        <f t="shared" ref="R52" si="584">ROUND((L52*0.0075)*0.9,2)</f>
        <v>5724.02</v>
      </c>
      <c r="S52" s="9">
        <f t="shared" ref="S52" si="585">ROUND((L52*0.0075)*0.9,2)</f>
        <v>5724.02</v>
      </c>
      <c r="T52" s="9">
        <f>ROUND(L52*0.02,2)/2+0.01</f>
        <v>8480.0400000000009</v>
      </c>
      <c r="U52" s="9">
        <f>ROUND(L52*0.02,2)/2+0.01</f>
        <v>8480.0400000000009</v>
      </c>
      <c r="V52" s="42">
        <f t="shared" ref="V52" si="586">E52/W52</f>
        <v>1528.2640830449836</v>
      </c>
      <c r="W52" s="10">
        <v>578</v>
      </c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</row>
    <row r="53" spans="1:96" ht="15" customHeight="1" x14ac:dyDescent="0.25">
      <c r="A53" s="8">
        <f>Mountaineer!A53</f>
        <v>44345</v>
      </c>
      <c r="B53" s="9">
        <v>11609168.33</v>
      </c>
      <c r="C53" s="9">
        <v>10609699.82</v>
      </c>
      <c r="D53" s="9">
        <v>91466</v>
      </c>
      <c r="E53" s="9">
        <f t="shared" ref="E53" si="587">B53-C53-D53</f>
        <v>908002.50999999978</v>
      </c>
      <c r="F53" s="9">
        <f>ROUND(E53*0.04,2)+0.01</f>
        <v>36320.11</v>
      </c>
      <c r="G53" s="9">
        <f t="shared" ref="G53" si="588">ROUND(E53*0,2)</f>
        <v>0</v>
      </c>
      <c r="H53" s="9">
        <f t="shared" ref="H53" si="589">E53-F53-G53</f>
        <v>871682.39999999979</v>
      </c>
      <c r="I53" s="9">
        <f t="shared" ref="I53" si="590">ROUND(H53*0,2)</f>
        <v>0</v>
      </c>
      <c r="J53" s="9">
        <f t="shared" ref="J53" si="591">ROUND((I53*0.58)+((I53*0.42)*0.1),2)</f>
        <v>0</v>
      </c>
      <c r="K53" s="9">
        <f t="shared" ref="K53" si="592">ROUND((I53*0.42)*0.9,2)</f>
        <v>0</v>
      </c>
      <c r="L53" s="69">
        <f t="shared" ref="L53" si="593">IF(J53+K53=I53,H53-I53,"ERROR")</f>
        <v>871682.39999999979</v>
      </c>
      <c r="M53" s="9">
        <f t="shared" ref="M53" si="594">ROUND(L53*0.465,2)</f>
        <v>405332.32</v>
      </c>
      <c r="N53" s="9">
        <f>ROUND(L53*0.3,2)+0.01</f>
        <v>261504.73</v>
      </c>
      <c r="O53" s="9">
        <f>ROUND(L53*0.1285,2)-0.01</f>
        <v>112011.18000000001</v>
      </c>
      <c r="P53" s="9">
        <f t="shared" ref="P53" si="595">ROUND((L53*0.07)*0.9,2)</f>
        <v>54915.99</v>
      </c>
      <c r="Q53" s="9">
        <f>ROUND(L53*0.01,2)</f>
        <v>8716.82</v>
      </c>
      <c r="R53" s="9">
        <f t="shared" ref="R53" si="596">ROUND((L53*0.0075)*0.9,2)</f>
        <v>5883.86</v>
      </c>
      <c r="S53" s="9">
        <f t="shared" ref="S53" si="597">ROUND((L53*0.0075)*0.9,2)</f>
        <v>5883.86</v>
      </c>
      <c r="T53" s="9">
        <f>ROUND(L53*0.02,2)/2-0.005</f>
        <v>8716.8200000000015</v>
      </c>
      <c r="U53" s="9">
        <f>ROUND(L53*0.02,2)/2-0.005</f>
        <v>8716.8200000000015</v>
      </c>
      <c r="V53" s="42">
        <f t="shared" ref="V53" si="598">E53/W53</f>
        <v>1607.0840884955749</v>
      </c>
      <c r="W53" s="10">
        <v>565</v>
      </c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</row>
    <row r="54" spans="1:96" ht="15" customHeight="1" x14ac:dyDescent="0.25">
      <c r="A54" s="8">
        <f>Mountaineer!A54</f>
        <v>44352</v>
      </c>
      <c r="B54" s="9">
        <v>13286904.32</v>
      </c>
      <c r="C54" s="9">
        <v>11985416.409999998</v>
      </c>
      <c r="D54" s="9">
        <v>108149</v>
      </c>
      <c r="E54" s="9">
        <f t="shared" ref="E54" si="599">B54-C54-D54</f>
        <v>1193338.910000002</v>
      </c>
      <c r="F54" s="9">
        <f>ROUND(E54*0.04,2)+0.01</f>
        <v>47733.57</v>
      </c>
      <c r="G54" s="9">
        <f t="shared" ref="G54" si="600">ROUND(E54*0,2)</f>
        <v>0</v>
      </c>
      <c r="H54" s="9">
        <f t="shared" ref="H54" si="601">E54-F54-G54</f>
        <v>1145605.3400000019</v>
      </c>
      <c r="I54" s="9">
        <f t="shared" ref="I54" si="602">ROUND(H54*0,2)</f>
        <v>0</v>
      </c>
      <c r="J54" s="9">
        <f t="shared" ref="J54" si="603">ROUND((I54*0.58)+((I54*0.42)*0.1),2)</f>
        <v>0</v>
      </c>
      <c r="K54" s="9">
        <f t="shared" ref="K54" si="604">ROUND((I54*0.42)*0.9,2)</f>
        <v>0</v>
      </c>
      <c r="L54" s="69">
        <f t="shared" ref="L54" si="605">IF(J54+K54=I54,H54-I54,"ERROR")</f>
        <v>1145605.3400000019</v>
      </c>
      <c r="M54" s="9">
        <f t="shared" ref="M54" si="606">ROUND(L54*0.465,2)</f>
        <v>532706.48</v>
      </c>
      <c r="N54" s="9">
        <f>ROUND(L54*0.3,2)-0.02</f>
        <v>343681.57999999996</v>
      </c>
      <c r="O54" s="9">
        <f>ROUND(L54*0.1285,2)-0.01</f>
        <v>147210.28</v>
      </c>
      <c r="P54" s="9">
        <f t="shared" ref="P54" si="607">ROUND((L54*0.07)*0.9,2)</f>
        <v>72173.14</v>
      </c>
      <c r="Q54" s="9">
        <f>ROUND(L54*0.01,2)+0.01</f>
        <v>11456.06</v>
      </c>
      <c r="R54" s="9">
        <f t="shared" ref="R54" si="608">ROUND((L54*0.0075)*0.9,2)</f>
        <v>7732.84</v>
      </c>
      <c r="S54" s="9">
        <f t="shared" ref="S54" si="609">ROUND((L54*0.0075)*0.9,2)</f>
        <v>7732.84</v>
      </c>
      <c r="T54" s="9">
        <f>ROUND(L54*0.02,2)/2+0.005</f>
        <v>11456.06</v>
      </c>
      <c r="U54" s="9">
        <f>ROUND(L54*0.02,2)/2+0.005</f>
        <v>11456.06</v>
      </c>
      <c r="V54" s="42">
        <f t="shared" ref="V54" si="610">E54/W54</f>
        <v>2075.372017391308</v>
      </c>
      <c r="W54" s="10">
        <v>575</v>
      </c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</row>
    <row r="55" spans="1:96" ht="15" customHeight="1" x14ac:dyDescent="0.25">
      <c r="A55" s="8">
        <f>Mountaineer!A55</f>
        <v>44359</v>
      </c>
      <c r="B55" s="9">
        <v>12313687.550000001</v>
      </c>
      <c r="C55" s="9">
        <v>11194102.109999999</v>
      </c>
      <c r="D55" s="9">
        <v>93834</v>
      </c>
      <c r="E55" s="9">
        <f t="shared" ref="E55" si="611">B55-C55-D55</f>
        <v>1025751.4400000013</v>
      </c>
      <c r="F55" s="9">
        <f>ROUND(E55*0.04,2)</f>
        <v>41030.06</v>
      </c>
      <c r="G55" s="9">
        <f t="shared" ref="G55" si="612">ROUND(E55*0,2)</f>
        <v>0</v>
      </c>
      <c r="H55" s="9">
        <f t="shared" ref="H55" si="613">E55-F55-G55</f>
        <v>984721.38000000129</v>
      </c>
      <c r="I55" s="9">
        <f t="shared" ref="I55" si="614">ROUND(H55*0,2)</f>
        <v>0</v>
      </c>
      <c r="J55" s="9">
        <f t="shared" ref="J55" si="615">ROUND((I55*0.58)+((I55*0.42)*0.1),2)</f>
        <v>0</v>
      </c>
      <c r="K55" s="9">
        <f t="shared" ref="K55" si="616">ROUND((I55*0.42)*0.9,2)</f>
        <v>0</v>
      </c>
      <c r="L55" s="69">
        <f t="shared" ref="L55" si="617">IF(J55+K55=I55,H55-I55,"ERROR")</f>
        <v>984721.38000000129</v>
      </c>
      <c r="M55" s="9">
        <f t="shared" ref="M55" si="618">ROUND(L55*0.465,2)</f>
        <v>457895.44</v>
      </c>
      <c r="N55" s="9">
        <f>ROUND(L55*0.3,2)+0.01</f>
        <v>295416.42</v>
      </c>
      <c r="O55" s="9">
        <f>ROUND(L55*0.1285,2)</f>
        <v>126536.7</v>
      </c>
      <c r="P55" s="9">
        <f t="shared" ref="P55" si="619">ROUND((L55*0.07)*0.9,2)</f>
        <v>62037.45</v>
      </c>
      <c r="Q55" s="9">
        <f>ROUND(L55*0.01,2)</f>
        <v>9847.2099999999991</v>
      </c>
      <c r="R55" s="9">
        <f t="shared" ref="R55" si="620">ROUND((L55*0.0075)*0.9,2)</f>
        <v>6646.87</v>
      </c>
      <c r="S55" s="9">
        <f t="shared" ref="S55" si="621">ROUND((L55*0.0075)*0.9,2)</f>
        <v>6646.87</v>
      </c>
      <c r="T55" s="9">
        <f>ROUND(L55*0.02,2)/2-0.005</f>
        <v>9847.2100000000009</v>
      </c>
      <c r="U55" s="9">
        <f>ROUND(L55*0.02,2)/2-0.005</f>
        <v>9847.2100000000009</v>
      </c>
      <c r="V55" s="42">
        <f t="shared" ref="V55" si="622">E55/W55</f>
        <v>1787.0234146341486</v>
      </c>
      <c r="W55" s="10">
        <v>574</v>
      </c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</row>
    <row r="56" spans="1:96" ht="15" customHeight="1" x14ac:dyDescent="0.25">
      <c r="A56" s="8">
        <f>Mountaineer!A56</f>
        <v>44366</v>
      </c>
      <c r="B56" s="9">
        <v>11666199.890000001</v>
      </c>
      <c r="C56" s="9">
        <v>10687642.100000001</v>
      </c>
      <c r="D56" s="9">
        <v>93374</v>
      </c>
      <c r="E56" s="9">
        <f t="shared" ref="E56" si="623">B56-C56-D56</f>
        <v>885183.78999999911</v>
      </c>
      <c r="F56" s="9">
        <f>ROUND(E56*0.04,2)+0.01</f>
        <v>35407.360000000001</v>
      </c>
      <c r="G56" s="9">
        <f t="shared" ref="G56" si="624">ROUND(E56*0,2)</f>
        <v>0</v>
      </c>
      <c r="H56" s="9">
        <f t="shared" ref="H56" si="625">E56-F56-G56</f>
        <v>849776.42999999912</v>
      </c>
      <c r="I56" s="9">
        <f t="shared" ref="I56" si="626">ROUND(H56*0,2)</f>
        <v>0</v>
      </c>
      <c r="J56" s="9">
        <f t="shared" ref="J56" si="627">ROUND((I56*0.58)+((I56*0.42)*0.1),2)</f>
        <v>0</v>
      </c>
      <c r="K56" s="9">
        <f t="shared" ref="K56" si="628">ROUND((I56*0.42)*0.9,2)</f>
        <v>0</v>
      </c>
      <c r="L56" s="69">
        <f t="shared" ref="L56" si="629">IF(J56+K56=I56,H56-I56,"ERROR")</f>
        <v>849776.42999999912</v>
      </c>
      <c r="M56" s="9">
        <f t="shared" ref="M56" si="630">ROUND(L56*0.465,2)</f>
        <v>395146.04</v>
      </c>
      <c r="N56" s="9">
        <f>ROUND(L56*0.3,2)+0.03</f>
        <v>254932.96</v>
      </c>
      <c r="O56" s="9">
        <f>ROUND(L56*0.1285,2)-0.02</f>
        <v>109196.25</v>
      </c>
      <c r="P56" s="9">
        <f t="shared" ref="P56" si="631">ROUND((L56*0.07)*0.9,2)</f>
        <v>53535.92</v>
      </c>
      <c r="Q56" s="9">
        <f>ROUND(L56*0.01,2)</f>
        <v>8497.76</v>
      </c>
      <c r="R56" s="9">
        <f t="shared" ref="R56" si="632">ROUND((L56*0.0075)*0.9,2)</f>
        <v>5735.99</v>
      </c>
      <c r="S56" s="9">
        <f t="shared" ref="S56" si="633">ROUND((L56*0.0075)*0.9,2)</f>
        <v>5735.99</v>
      </c>
      <c r="T56" s="9">
        <f>ROUND(L56*0.02,2)/2-0.005</f>
        <v>8497.76</v>
      </c>
      <c r="U56" s="9">
        <f>ROUND(L56*0.02,2)/2-0.005</f>
        <v>8497.76</v>
      </c>
      <c r="V56" s="42">
        <f t="shared" ref="V56" si="634">E56/W56</f>
        <v>1477.7692654424025</v>
      </c>
      <c r="W56" s="10">
        <v>599</v>
      </c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</row>
    <row r="57" spans="1:96" ht="15" customHeight="1" x14ac:dyDescent="0.25">
      <c r="A57" s="8">
        <f>Mountaineer!A57</f>
        <v>44373</v>
      </c>
      <c r="B57" s="9">
        <v>12539773.34</v>
      </c>
      <c r="C57" s="9">
        <v>11379346.539999999</v>
      </c>
      <c r="D57" s="9">
        <v>102730</v>
      </c>
      <c r="E57" s="9">
        <f t="shared" ref="E57" si="635">B57-C57-D57</f>
        <v>1057696.8000000007</v>
      </c>
      <c r="F57" s="9">
        <f>ROUND(E57*0.04,2)</f>
        <v>42307.87</v>
      </c>
      <c r="G57" s="9">
        <f t="shared" ref="G57" si="636">ROUND(E57*0,2)</f>
        <v>0</v>
      </c>
      <c r="H57" s="9">
        <f t="shared" ref="H57" si="637">E57-F57-G57</f>
        <v>1015388.9300000007</v>
      </c>
      <c r="I57" s="9">
        <f t="shared" ref="I57" si="638">ROUND(H57*0,2)</f>
        <v>0</v>
      </c>
      <c r="J57" s="9">
        <f t="shared" ref="J57" si="639">ROUND((I57*0.58)+((I57*0.42)*0.1),2)</f>
        <v>0</v>
      </c>
      <c r="K57" s="9">
        <f t="shared" ref="K57" si="640">ROUND((I57*0.42)*0.9,2)</f>
        <v>0</v>
      </c>
      <c r="L57" s="69">
        <f t="shared" ref="L57" si="641">IF(J57+K57=I57,H57-I57,"ERROR")</f>
        <v>1015388.9300000007</v>
      </c>
      <c r="M57" s="9">
        <f t="shared" ref="M57" si="642">ROUND(L57*0.465,2)</f>
        <v>472155.85</v>
      </c>
      <c r="N57" s="9">
        <f>ROUND(L57*0.3,2)+0.03</f>
        <v>304616.71000000002</v>
      </c>
      <c r="O57" s="9">
        <f>ROUND(L57*0.1285,2)-0.01</f>
        <v>130477.47</v>
      </c>
      <c r="P57" s="9">
        <f t="shared" ref="P57" si="643">ROUND((L57*0.07)*0.9,2)</f>
        <v>63969.5</v>
      </c>
      <c r="Q57" s="9">
        <f>ROUND(L57*0.01,2)-0.01</f>
        <v>10153.879999999999</v>
      </c>
      <c r="R57" s="9">
        <f t="shared" ref="R57" si="644">ROUND((L57*0.0075)*0.9,2)</f>
        <v>6853.88</v>
      </c>
      <c r="S57" s="9">
        <f t="shared" ref="S57" si="645">ROUND((L57*0.0075)*0.9,2)</f>
        <v>6853.88</v>
      </c>
      <c r="T57" s="9">
        <f>ROUND(L57*0.02,2)/2-0.01</f>
        <v>10153.879999999999</v>
      </c>
      <c r="U57" s="9">
        <f>ROUND(L57*0.02,2)/2-0.01</f>
        <v>10153.879999999999</v>
      </c>
      <c r="V57" s="42">
        <f t="shared" ref="V57" si="646">E57/W57</f>
        <v>1745.3742574257437</v>
      </c>
      <c r="W57" s="10">
        <v>606</v>
      </c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</row>
    <row r="58" spans="1:96" ht="15" customHeight="1" x14ac:dyDescent="0.25">
      <c r="A58" s="8" t="str">
        <f>Mountaineer!A58</f>
        <v>6/30/2021  ***</v>
      </c>
      <c r="B58" s="9">
        <v>4912200.6100000003</v>
      </c>
      <c r="C58" s="9">
        <v>4436538.2300000004</v>
      </c>
      <c r="D58" s="9">
        <v>48483</v>
      </c>
      <c r="E58" s="9">
        <f t="shared" ref="E58" si="647">B58-C58-D58</f>
        <v>427179.37999999989</v>
      </c>
      <c r="F58" s="9">
        <f>ROUND(E58*0.04,2)-0.01</f>
        <v>17087.170000000002</v>
      </c>
      <c r="G58" s="9">
        <f t="shared" ref="G58" si="648">ROUND(E58*0,2)</f>
        <v>0</v>
      </c>
      <c r="H58" s="9">
        <f t="shared" ref="H58" si="649">E58-F58-G58</f>
        <v>410092.2099999999</v>
      </c>
      <c r="I58" s="9">
        <f t="shared" ref="I58" si="650">ROUND(H58*0,2)</f>
        <v>0</v>
      </c>
      <c r="J58" s="9">
        <f t="shared" ref="J58" si="651">ROUND((I58*0.58)+((I58*0.42)*0.1),2)</f>
        <v>0</v>
      </c>
      <c r="K58" s="9">
        <f t="shared" ref="K58" si="652">ROUND((I58*0.42)*0.9,2)</f>
        <v>0</v>
      </c>
      <c r="L58" s="69">
        <f t="shared" ref="L58" si="653">IF(J58+K58=I58,H58-I58,"ERROR")</f>
        <v>410092.2099999999</v>
      </c>
      <c r="M58" s="9">
        <f t="shared" ref="M58" si="654">ROUND(L58*0.465,2)</f>
        <v>190692.88</v>
      </c>
      <c r="N58" s="9">
        <f>ROUND(L58*0.3,2)+0.02</f>
        <v>123027.68000000001</v>
      </c>
      <c r="O58" s="9">
        <f>ROUND(L58*0.1285,2)-0.01</f>
        <v>52696.84</v>
      </c>
      <c r="P58" s="9">
        <f t="shared" ref="P58" si="655">ROUND((L58*0.07)*0.9,2)</f>
        <v>25835.81</v>
      </c>
      <c r="Q58" s="9">
        <f>ROUND(L58*0.01,2)</f>
        <v>4100.92</v>
      </c>
      <c r="R58" s="9">
        <f t="shared" ref="R58" si="656">ROUND((L58*0.0075)*0.9,2)</f>
        <v>2768.12</v>
      </c>
      <c r="S58" s="9">
        <f t="shared" ref="S58" si="657">ROUND((L58*0.0075)*0.9,2)</f>
        <v>2768.12</v>
      </c>
      <c r="T58" s="9">
        <f>ROUND(L58*0.02,2)/2</f>
        <v>4100.92</v>
      </c>
      <c r="U58" s="9">
        <f>ROUND(L58*0.02,2)/2</f>
        <v>4100.92</v>
      </c>
      <c r="V58" s="42">
        <f t="shared" ref="V58" si="658">E58/W58</f>
        <v>691.22877022653699</v>
      </c>
      <c r="W58" s="10">
        <v>618</v>
      </c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</row>
    <row r="59" spans="1:96" ht="15" customHeight="1" x14ac:dyDescent="0.25">
      <c r="B59" s="11"/>
      <c r="E59" s="11"/>
      <c r="F59" s="11"/>
      <c r="G59" s="11"/>
      <c r="H59" s="11"/>
      <c r="I59" s="11"/>
      <c r="J59" s="11"/>
      <c r="K59" s="11"/>
      <c r="L59" s="11"/>
      <c r="M59" s="11"/>
      <c r="P59" s="11"/>
      <c r="R59" s="11"/>
      <c r="S59" s="11"/>
      <c r="V59" s="12"/>
    </row>
    <row r="60" spans="1:96" ht="15" customHeight="1" thickBot="1" x14ac:dyDescent="0.3">
      <c r="B60" s="14">
        <f t="shared" ref="B60:U60" si="659">SUM(B6:B59)</f>
        <v>521620193.44999993</v>
      </c>
      <c r="C60" s="14">
        <f t="shared" si="659"/>
        <v>473438184.03000003</v>
      </c>
      <c r="D60" s="14">
        <f t="shared" si="659"/>
        <v>4141027</v>
      </c>
      <c r="E60" s="14">
        <f t="shared" si="659"/>
        <v>44040982.420000009</v>
      </c>
      <c r="F60" s="14">
        <f t="shared" si="659"/>
        <v>1761639.3300000008</v>
      </c>
      <c r="G60" s="14">
        <f t="shared" si="659"/>
        <v>0</v>
      </c>
      <c r="H60" s="14">
        <f t="shared" si="659"/>
        <v>42279343.089999996</v>
      </c>
      <c r="I60" s="14">
        <f t="shared" si="659"/>
        <v>0</v>
      </c>
      <c r="J60" s="14">
        <f t="shared" si="659"/>
        <v>0</v>
      </c>
      <c r="K60" s="14">
        <f t="shared" si="659"/>
        <v>0</v>
      </c>
      <c r="L60" s="14">
        <f t="shared" si="659"/>
        <v>42279343.089999996</v>
      </c>
      <c r="M60" s="14">
        <f t="shared" si="659"/>
        <v>19659894.529999997</v>
      </c>
      <c r="N60" s="14">
        <f t="shared" si="659"/>
        <v>12683803.020000001</v>
      </c>
      <c r="O60" s="14">
        <f t="shared" si="659"/>
        <v>5432895.4900000012</v>
      </c>
      <c r="P60" s="14">
        <f t="shared" si="659"/>
        <v>2663598.6400000006</v>
      </c>
      <c r="Q60" s="14">
        <f t="shared" si="659"/>
        <v>422793.41000000003</v>
      </c>
      <c r="R60" s="14">
        <f t="shared" si="659"/>
        <v>285385.59000000003</v>
      </c>
      <c r="S60" s="14">
        <f t="shared" si="659"/>
        <v>285385.59000000003</v>
      </c>
      <c r="T60" s="14">
        <f t="shared" si="659"/>
        <v>652984.91999999993</v>
      </c>
      <c r="U60" s="14">
        <f t="shared" si="659"/>
        <v>192601.90000000005</v>
      </c>
      <c r="V60" s="14">
        <f>AVERAGE(V6:V59)</f>
        <v>1542.6593639963253</v>
      </c>
      <c r="W60" s="16">
        <f>AVERAGE(W6:W59)</f>
        <v>538.52830188679241</v>
      </c>
    </row>
    <row r="61" spans="1:96" ht="15" customHeight="1" thickTop="1" x14ac:dyDescent="0.25"/>
    <row r="62" spans="1:96" ht="15" customHeight="1" x14ac:dyDescent="0.25">
      <c r="A62" s="1" t="s">
        <v>47</v>
      </c>
    </row>
    <row r="63" spans="1:96" ht="15" customHeight="1" x14ac:dyDescent="0.25">
      <c r="A63" s="1" t="s">
        <v>16</v>
      </c>
    </row>
    <row r="64" spans="1:96" ht="15" customHeight="1" x14ac:dyDescent="0.25">
      <c r="A64" s="1" t="s">
        <v>51</v>
      </c>
      <c r="B64" s="1"/>
    </row>
  </sheetData>
  <mergeCells count="1">
    <mergeCell ref="A4:W4"/>
  </mergeCells>
  <pageMargins left="0.25" right="0.25" top="0.5" bottom="0.25" header="0" footer="0"/>
  <pageSetup paperSize="5" scale="54" orientation="landscape" r:id="rId1"/>
  <headerFooter>
    <oddHeader>&amp;CMARDI GRAS CASINO VIDEO LOTTERY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64"/>
  <sheetViews>
    <sheetView workbookViewId="0">
      <pane ySplit="3" topLeftCell="A29" activePane="bottomLeft" state="frozen"/>
      <selection pane="bottomLeft" activeCell="E58" sqref="E58"/>
    </sheetView>
  </sheetViews>
  <sheetFormatPr defaultRowHeight="15" customHeight="1" x14ac:dyDescent="0.25"/>
  <cols>
    <col min="1" max="1" width="15" style="2" customWidth="1"/>
    <col min="2" max="3" width="17.42578125" style="2" bestFit="1" customWidth="1"/>
    <col min="4" max="4" width="15.42578125" style="2" customWidth="1"/>
    <col min="5" max="5" width="16.5703125" style="2" customWidth="1"/>
    <col min="6" max="6" width="14.5703125" style="2" customWidth="1"/>
    <col min="7" max="7" width="15" style="2" customWidth="1"/>
    <col min="8" max="8" width="17.7109375" style="2" customWidth="1"/>
    <col min="9" max="9" width="15.140625" style="2" hidden="1" customWidth="1"/>
    <col min="10" max="10" width="15.140625" style="2" customWidth="1"/>
    <col min="11" max="11" width="15.28515625" style="2" customWidth="1"/>
    <col min="12" max="12" width="17.140625" style="2" customWidth="1"/>
    <col min="13" max="13" width="15.42578125" style="2" customWidth="1"/>
    <col min="14" max="14" width="15.7109375" style="2" customWidth="1"/>
    <col min="15" max="16" width="16" style="2" customWidth="1"/>
    <col min="17" max="18" width="15.42578125" style="2" customWidth="1"/>
    <col min="19" max="19" width="15" style="2" customWidth="1"/>
    <col min="20" max="20" width="14.7109375" style="2" customWidth="1"/>
    <col min="21" max="21" width="13.85546875" style="2" customWidth="1"/>
    <col min="22" max="23" width="13.7109375" style="2" customWidth="1"/>
    <col min="24" max="16384" width="9.140625" style="2"/>
  </cols>
  <sheetData>
    <row r="1" spans="1:96" s="3" customFormat="1" ht="45" x14ac:dyDescent="0.25">
      <c r="A1" s="3" t="s">
        <v>14</v>
      </c>
      <c r="B1" s="3" t="s">
        <v>18</v>
      </c>
      <c r="C1" s="3" t="s">
        <v>19</v>
      </c>
      <c r="D1" s="3" t="s">
        <v>21</v>
      </c>
      <c r="E1" s="3" t="s">
        <v>22</v>
      </c>
      <c r="F1" s="3" t="s">
        <v>20</v>
      </c>
      <c r="G1" s="3" t="s">
        <v>23</v>
      </c>
      <c r="H1" s="3" t="s">
        <v>24</v>
      </c>
      <c r="I1" s="3" t="s">
        <v>15</v>
      </c>
      <c r="J1" s="3" t="s">
        <v>25</v>
      </c>
      <c r="K1" s="3" t="s">
        <v>26</v>
      </c>
      <c r="L1" s="3" t="s">
        <v>27</v>
      </c>
      <c r="M1" s="3" t="s">
        <v>12</v>
      </c>
      <c r="N1" s="3" t="s">
        <v>28</v>
      </c>
      <c r="O1" s="3" t="s">
        <v>23</v>
      </c>
      <c r="P1" s="3" t="s">
        <v>29</v>
      </c>
      <c r="Q1" s="3" t="s">
        <v>30</v>
      </c>
      <c r="R1" s="3" t="s">
        <v>31</v>
      </c>
      <c r="S1" s="3" t="s">
        <v>32</v>
      </c>
      <c r="T1" s="3" t="s">
        <v>42</v>
      </c>
      <c r="U1" s="3" t="s">
        <v>41</v>
      </c>
      <c r="V1" s="3" t="s">
        <v>33</v>
      </c>
      <c r="W1" s="3" t="s">
        <v>36</v>
      </c>
    </row>
    <row r="2" spans="1:96" s="4" customFormat="1" ht="15" customHeight="1" x14ac:dyDescent="0.25">
      <c r="A2" s="4" t="s">
        <v>49</v>
      </c>
      <c r="B2" s="5">
        <v>2180992861.5300002</v>
      </c>
      <c r="C2" s="5">
        <v>1953168977.6400001</v>
      </c>
      <c r="D2" s="5">
        <v>24227106</v>
      </c>
      <c r="E2" s="5">
        <v>203596777.88999999</v>
      </c>
      <c r="F2" s="5">
        <v>5340672.8</v>
      </c>
      <c r="G2" s="5">
        <v>2803198.27</v>
      </c>
      <c r="H2" s="5">
        <v>195452906.82000002</v>
      </c>
      <c r="I2" s="5">
        <v>6326581.6199999992</v>
      </c>
      <c r="J2" s="5">
        <v>3935133.76</v>
      </c>
      <c r="K2" s="5">
        <v>2391447.86</v>
      </c>
      <c r="L2" s="5">
        <v>189126325.20000002</v>
      </c>
      <c r="M2" s="5">
        <v>85381475.699999988</v>
      </c>
      <c r="N2" s="5">
        <v>39656127.309999995</v>
      </c>
      <c r="O2" s="5">
        <v>45768824.179999985</v>
      </c>
      <c r="P2" s="5">
        <v>10377599.120000005</v>
      </c>
      <c r="Q2" s="5">
        <v>1606567.0700000003</v>
      </c>
      <c r="R2" s="5">
        <v>1276602.6700000002</v>
      </c>
      <c r="S2" s="5">
        <v>1276602.6700000002</v>
      </c>
      <c r="T2" s="5">
        <v>2347294.9800000004</v>
      </c>
      <c r="U2" s="5">
        <v>1435231.4999999998</v>
      </c>
      <c r="V2" s="9">
        <v>1916.54</v>
      </c>
      <c r="W2" s="7">
        <v>2088</v>
      </c>
    </row>
    <row r="3" spans="1:96" s="4" customFormat="1" ht="15" customHeight="1" x14ac:dyDescent="0.25"/>
    <row r="4" spans="1:96" s="4" customFormat="1" ht="15" customHeight="1" x14ac:dyDescent="0.25">
      <c r="A4" s="75" t="s">
        <v>46</v>
      </c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</row>
    <row r="5" spans="1:96" s="44" customFormat="1" ht="15" customHeight="1" x14ac:dyDescent="0.25"/>
    <row r="6" spans="1:96" ht="15" customHeight="1" x14ac:dyDescent="0.25">
      <c r="A6" s="8" t="str">
        <f>Mountaineer!A6</f>
        <v>7/4/2020 *</v>
      </c>
      <c r="B6" s="9">
        <v>31422126.699999999</v>
      </c>
      <c r="C6" s="9">
        <v>28345027.280000001</v>
      </c>
      <c r="D6" s="9">
        <v>460027</v>
      </c>
      <c r="E6" s="9">
        <f t="shared" ref="E6" si="0">B6-C6-D6</f>
        <v>2617072.4199999981</v>
      </c>
      <c r="F6" s="9">
        <f>ROUND(E6*0.04,2)-0.01</f>
        <v>104682.89</v>
      </c>
      <c r="G6" s="9">
        <f t="shared" ref="G6" si="1">ROUND(E6*0,2)</f>
        <v>0</v>
      </c>
      <c r="H6" s="9">
        <f t="shared" ref="H6" si="2">E6-F6-G6</f>
        <v>2512389.5299999979</v>
      </c>
      <c r="I6" s="9">
        <f t="shared" ref="I6" si="3">ROUND(H6*0,2)</f>
        <v>0</v>
      </c>
      <c r="J6" s="9">
        <f t="shared" ref="J6" si="4">ROUND((I6*0.58)+((I6*0.42)*0.1),2)</f>
        <v>0</v>
      </c>
      <c r="K6" s="9">
        <f t="shared" ref="K6" si="5">ROUND((I6*0.42)*0.9,2)</f>
        <v>0</v>
      </c>
      <c r="L6" s="9">
        <f t="shared" ref="L6" si="6">IF(J6+K6=I6,H6-I6,"ERROR")</f>
        <v>2512389.5299999979</v>
      </c>
      <c r="M6" s="9">
        <f t="shared" ref="M6" si="7">ROUND(L6*0.465,2)</f>
        <v>1168261.1299999999</v>
      </c>
      <c r="N6" s="9">
        <f>ROUND(L6*0.3,2)-0.03</f>
        <v>753716.83</v>
      </c>
      <c r="O6" s="9">
        <f>ROUND(L6*0.1285,2)+0.02</f>
        <v>322842.07</v>
      </c>
      <c r="P6" s="9">
        <f t="shared" ref="P6" si="8">ROUND((L6*0.07)*0.9,2)</f>
        <v>158280.54</v>
      </c>
      <c r="Q6" s="9">
        <f>ROUND(L6*0.01,2)</f>
        <v>25123.9</v>
      </c>
      <c r="R6" s="9">
        <f t="shared" ref="R6" si="9">ROUND((L6*0.0075)*0.9,2)</f>
        <v>16958.63</v>
      </c>
      <c r="S6" s="9">
        <f t="shared" ref="S6" si="10">ROUND((L6*0.0075)*0.9,2)</f>
        <v>16958.63</v>
      </c>
      <c r="T6" s="9">
        <f>ROUND(L6*0.02,2)+0.01</f>
        <v>50247.8</v>
      </c>
      <c r="U6" s="9">
        <f t="shared" ref="U6" si="11">ROUND(L6*0,2)</f>
        <v>0</v>
      </c>
      <c r="V6" s="42">
        <f t="shared" ref="V6" si="12">E6/W6</f>
        <v>2261.9467761452015</v>
      </c>
      <c r="W6" s="10">
        <v>1157</v>
      </c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</row>
    <row r="7" spans="1:96" ht="15" customHeight="1" x14ac:dyDescent="0.25">
      <c r="A7" s="8" t="str">
        <f>Mountaineer!A7</f>
        <v>7/11/2020</v>
      </c>
      <c r="B7" s="9">
        <v>39718194.829999998</v>
      </c>
      <c r="C7" s="9">
        <v>35504720.880000003</v>
      </c>
      <c r="D7" s="9">
        <v>551327</v>
      </c>
      <c r="E7" s="9">
        <f t="shared" ref="E7" si="13">B7-C7-D7</f>
        <v>3662146.9499999955</v>
      </c>
      <c r="F7" s="9">
        <f>ROUND(E7*0.04,2)</f>
        <v>146485.88</v>
      </c>
      <c r="G7" s="9">
        <f t="shared" ref="G7" si="14">ROUND(E7*0,2)</f>
        <v>0</v>
      </c>
      <c r="H7" s="9">
        <f t="shared" ref="H7" si="15">E7-F7-G7</f>
        <v>3515661.0699999956</v>
      </c>
      <c r="I7" s="9">
        <f t="shared" ref="I7" si="16">ROUND(H7*0,2)</f>
        <v>0</v>
      </c>
      <c r="J7" s="9">
        <f t="shared" ref="J7" si="17">ROUND((I7*0.58)+((I7*0.42)*0.1),2)</f>
        <v>0</v>
      </c>
      <c r="K7" s="9">
        <f t="shared" ref="K7" si="18">ROUND((I7*0.42)*0.9,2)</f>
        <v>0</v>
      </c>
      <c r="L7" s="9">
        <f t="shared" ref="L7" si="19">IF(J7+K7=I7,H7-I7,"ERROR")</f>
        <v>3515661.0699999956</v>
      </c>
      <c r="M7" s="9">
        <f t="shared" ref="M7" si="20">ROUND(L7*0.465,2)</f>
        <v>1634782.4</v>
      </c>
      <c r="N7" s="9">
        <f>ROUND(L7*0.3,2)-0.05</f>
        <v>1054698.27</v>
      </c>
      <c r="O7" s="9">
        <f>ROUND(L7*0.1285,2)+0.02</f>
        <v>451762.47000000003</v>
      </c>
      <c r="P7" s="9">
        <f t="shared" ref="P7" si="21">ROUND((L7*0.07)*0.9,2)</f>
        <v>221486.65</v>
      </c>
      <c r="Q7" s="9">
        <f>ROUND(L7*0.01,2)+0.01</f>
        <v>35156.620000000003</v>
      </c>
      <c r="R7" s="9">
        <f t="shared" ref="R7" si="22">ROUND((L7*0.0075)*0.9,2)</f>
        <v>23730.71</v>
      </c>
      <c r="S7" s="9">
        <f t="shared" ref="S7" si="23">ROUND((L7*0.0075)*0.9,2)</f>
        <v>23730.71</v>
      </c>
      <c r="T7" s="9">
        <f>ROUND(L7*0.02,2)+0.02</f>
        <v>70313.240000000005</v>
      </c>
      <c r="U7" s="9">
        <f t="shared" ref="U7" si="24">ROUND(L7*0,2)</f>
        <v>0</v>
      </c>
      <c r="V7" s="42">
        <f t="shared" ref="V7" si="25">E7/W7</f>
        <v>3093.0295185810774</v>
      </c>
      <c r="W7" s="10">
        <v>1184</v>
      </c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</row>
    <row r="8" spans="1:96" ht="15" customHeight="1" x14ac:dyDescent="0.25">
      <c r="A8" s="8">
        <f>Mountaineer!A8</f>
        <v>44030</v>
      </c>
      <c r="B8" s="9">
        <v>39234131.850000001</v>
      </c>
      <c r="C8" s="9">
        <v>35352796.68</v>
      </c>
      <c r="D8" s="9">
        <v>613392</v>
      </c>
      <c r="E8" s="9">
        <f t="shared" ref="E8" si="26">B8-C8-D8</f>
        <v>3267943.1700000018</v>
      </c>
      <c r="F8" s="9">
        <f>ROUND(E8*0.04,2)</f>
        <v>130717.73</v>
      </c>
      <c r="G8" s="9">
        <f t="shared" ref="G8" si="27">ROUND(E8*0,2)</f>
        <v>0</v>
      </c>
      <c r="H8" s="9">
        <f t="shared" ref="H8" si="28">E8-F8-G8</f>
        <v>3137225.4400000018</v>
      </c>
      <c r="I8" s="9">
        <f t="shared" ref="I8" si="29">ROUND(H8*0,2)</f>
        <v>0</v>
      </c>
      <c r="J8" s="9">
        <f t="shared" ref="J8" si="30">ROUND((I8*0.58)+((I8*0.42)*0.1),2)</f>
        <v>0</v>
      </c>
      <c r="K8" s="9">
        <f t="shared" ref="K8" si="31">ROUND((I8*0.42)*0.9,2)</f>
        <v>0</v>
      </c>
      <c r="L8" s="69">
        <f t="shared" ref="L8" si="32">IF(J8+K8=I8,H8-I8,"ERROR")</f>
        <v>3137225.4400000018</v>
      </c>
      <c r="M8" s="9">
        <f t="shared" ref="M8" si="33">ROUND(L8*0.465,2)</f>
        <v>1458809.83</v>
      </c>
      <c r="N8" s="9">
        <f>ROUND(L8*0.3,2)-0.03</f>
        <v>941167.6</v>
      </c>
      <c r="O8" s="9">
        <f>ROUND(L8*0.1285,2)+0.02</f>
        <v>403133.49</v>
      </c>
      <c r="P8" s="9">
        <f t="shared" ref="P8" si="34">ROUND((L8*0.07)*0.9,2)</f>
        <v>197645.2</v>
      </c>
      <c r="Q8" s="9">
        <f>ROUND(L8*0.01,2)+0.01</f>
        <v>31372.26</v>
      </c>
      <c r="R8" s="9">
        <f t="shared" ref="R8" si="35">ROUND((L8*0.0075)*0.9,2)</f>
        <v>21176.27</v>
      </c>
      <c r="S8" s="9">
        <f t="shared" ref="S8" si="36">ROUND((L8*0.0075)*0.9,2)</f>
        <v>21176.27</v>
      </c>
      <c r="T8" s="9">
        <f>ROUND(L8*0.02,2)+0.01</f>
        <v>62744.520000000004</v>
      </c>
      <c r="U8" s="9">
        <f t="shared" ref="U8" si="37">ROUND(L8*0,2)</f>
        <v>0</v>
      </c>
      <c r="V8" s="42">
        <f t="shared" ref="V8" si="38">E8/W8</f>
        <v>2672.071275551923</v>
      </c>
      <c r="W8" s="10">
        <v>1223</v>
      </c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</row>
    <row r="9" spans="1:96" ht="15" customHeight="1" x14ac:dyDescent="0.25">
      <c r="A9" s="8">
        <f>Mountaineer!A9</f>
        <v>44037</v>
      </c>
      <c r="B9" s="9">
        <v>45782480.170000002</v>
      </c>
      <c r="C9" s="9">
        <v>41019406.060000002</v>
      </c>
      <c r="D9" s="9">
        <v>581113</v>
      </c>
      <c r="E9" s="9">
        <f t="shared" ref="E9" si="39">B9-C9-D9</f>
        <v>4181961.1099999994</v>
      </c>
      <c r="F9" s="9">
        <f>ROUND(E9*0.04,2)+0.01</f>
        <v>167278.45000000001</v>
      </c>
      <c r="G9" s="9">
        <f t="shared" ref="G9" si="40">ROUND(E9*0,2)</f>
        <v>0</v>
      </c>
      <c r="H9" s="9">
        <f t="shared" ref="H9" si="41">E9-F9-G9</f>
        <v>4014682.6599999992</v>
      </c>
      <c r="I9" s="9">
        <f t="shared" ref="I9" si="42">ROUND(H9*0,2)</f>
        <v>0</v>
      </c>
      <c r="J9" s="9">
        <f t="shared" ref="J9" si="43">ROUND((I9*0.58)+((I9*0.42)*0.1),2)</f>
        <v>0</v>
      </c>
      <c r="K9" s="9">
        <f t="shared" ref="K9" si="44">ROUND((I9*0.42)*0.9,2)</f>
        <v>0</v>
      </c>
      <c r="L9" s="69">
        <f t="shared" ref="L9" si="45">IF(J9+K9=I9,H9-I9,"ERROR")</f>
        <v>4014682.6599999992</v>
      </c>
      <c r="M9" s="9">
        <f t="shared" ref="M9" si="46">ROUND(L9*0.465,2)</f>
        <v>1866827.44</v>
      </c>
      <c r="N9" s="9">
        <f>ROUND(L9*0.3,2)+0.02</f>
        <v>1204404.82</v>
      </c>
      <c r="O9" s="9">
        <f>ROUND(L9*0.1285,2)-0.01</f>
        <v>515886.70999999996</v>
      </c>
      <c r="P9" s="9">
        <f t="shared" ref="P9" si="47">ROUND((L9*0.07)*0.9,2)</f>
        <v>252925.01</v>
      </c>
      <c r="Q9" s="9">
        <f>ROUND(L9*0.01,2)-0.01</f>
        <v>40146.82</v>
      </c>
      <c r="R9" s="9">
        <f t="shared" ref="R9" si="48">ROUND((L9*0.0075)*0.9,2)</f>
        <v>27099.11</v>
      </c>
      <c r="S9" s="9">
        <f t="shared" ref="S9" si="49">ROUND((L9*0.0075)*0.9,2)</f>
        <v>27099.11</v>
      </c>
      <c r="T9" s="9">
        <f>ROUND(L9*0.02,2)-0.01</f>
        <v>80293.64</v>
      </c>
      <c r="U9" s="9">
        <f t="shared" ref="U9" si="50">ROUND(L9*0,2)</f>
        <v>0</v>
      </c>
      <c r="V9" s="42">
        <f t="shared" ref="V9" si="51">E9/W9</f>
        <v>3399.9683821138206</v>
      </c>
      <c r="W9" s="10">
        <v>1230</v>
      </c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</row>
    <row r="10" spans="1:96" ht="15" customHeight="1" x14ac:dyDescent="0.25">
      <c r="A10" s="8">
        <f>Mountaineer!A10</f>
        <v>44044</v>
      </c>
      <c r="B10" s="9">
        <v>45851391.630000003</v>
      </c>
      <c r="C10" s="9">
        <v>41320455</v>
      </c>
      <c r="D10" s="9">
        <v>581984</v>
      </c>
      <c r="E10" s="9">
        <f t="shared" ref="E10" si="52">B10-C10-D10</f>
        <v>3948952.6300000027</v>
      </c>
      <c r="F10" s="9">
        <f>ROUND(E10*0.04,2)-0.01</f>
        <v>157958.09999999998</v>
      </c>
      <c r="G10" s="9">
        <f t="shared" ref="G10" si="53">ROUND(E10*0,2)</f>
        <v>0</v>
      </c>
      <c r="H10" s="9">
        <f t="shared" ref="H10" si="54">E10-F10-G10</f>
        <v>3790994.5300000026</v>
      </c>
      <c r="I10" s="9">
        <f t="shared" ref="I10" si="55">ROUND(H10*0,2)</f>
        <v>0</v>
      </c>
      <c r="J10" s="9">
        <f t="shared" ref="J10" si="56">ROUND((I10*0.58)+((I10*0.42)*0.1),2)</f>
        <v>0</v>
      </c>
      <c r="K10" s="9">
        <f t="shared" ref="K10" si="57">ROUND((I10*0.42)*0.9,2)</f>
        <v>0</v>
      </c>
      <c r="L10" s="69">
        <f t="shared" ref="L10" si="58">IF(J10+K10=I10,H10-I10,"ERROR")</f>
        <v>3790994.5300000026</v>
      </c>
      <c r="M10" s="9">
        <f t="shared" ref="M10" si="59">ROUND(L10*0.465,2)</f>
        <v>1762812.46</v>
      </c>
      <c r="N10" s="9">
        <f>ROUND(L10*0.3,2)+0.02</f>
        <v>1137298.3800000001</v>
      </c>
      <c r="O10" s="9">
        <f>ROUND(L10*0.1285,2)-0.01</f>
        <v>487142.79</v>
      </c>
      <c r="P10" s="9">
        <f t="shared" ref="P10" si="60">ROUND((L10*0.07)*0.9,2)</f>
        <v>238832.66</v>
      </c>
      <c r="Q10" s="9">
        <f>ROUND(L10*0.01,2)-0.01</f>
        <v>37909.939999999995</v>
      </c>
      <c r="R10" s="9">
        <f t="shared" ref="R10" si="61">ROUND((L10*0.0075)*0.9,2)</f>
        <v>25589.21</v>
      </c>
      <c r="S10" s="9">
        <f t="shared" ref="S10" si="62">ROUND((L10*0.0075)*0.9,2)</f>
        <v>25589.21</v>
      </c>
      <c r="T10" s="9">
        <f>ROUND(L10*0.02,2)-0.01</f>
        <v>75819.88</v>
      </c>
      <c r="U10" s="9">
        <f t="shared" ref="U10" si="63">ROUND(L10*0,2)</f>
        <v>0</v>
      </c>
      <c r="V10" s="42">
        <f t="shared" ref="V10" si="64">E10/W10</f>
        <v>3154.115519169331</v>
      </c>
      <c r="W10" s="10">
        <v>1252</v>
      </c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</row>
    <row r="11" spans="1:96" ht="15" customHeight="1" x14ac:dyDescent="0.25">
      <c r="A11" s="8">
        <f>Mountaineer!A11</f>
        <v>44051</v>
      </c>
      <c r="B11" s="9">
        <v>48475523.149999999</v>
      </c>
      <c r="C11" s="9">
        <v>43583822.079999998</v>
      </c>
      <c r="D11" s="9">
        <v>726131</v>
      </c>
      <c r="E11" s="9">
        <f t="shared" ref="E11" si="65">B11-C11-D11</f>
        <v>4165570.0700000003</v>
      </c>
      <c r="F11" s="9">
        <f>ROUND(E11*0.04,2)+0.01</f>
        <v>166622.81</v>
      </c>
      <c r="G11" s="9">
        <f t="shared" ref="G11" si="66">ROUND(E11*0,2)</f>
        <v>0</v>
      </c>
      <c r="H11" s="9">
        <f t="shared" ref="H11" si="67">E11-F11-G11</f>
        <v>3998947.2600000002</v>
      </c>
      <c r="I11" s="9">
        <f t="shared" ref="I11" si="68">ROUND(H11*0,2)</f>
        <v>0</v>
      </c>
      <c r="J11" s="9">
        <f t="shared" ref="J11" si="69">ROUND((I11*0.58)+((I11*0.42)*0.1),2)</f>
        <v>0</v>
      </c>
      <c r="K11" s="9">
        <f t="shared" ref="K11" si="70">ROUND((I11*0.42)*0.9,2)</f>
        <v>0</v>
      </c>
      <c r="L11" s="69">
        <f t="shared" ref="L11" si="71">IF(J11+K11=I11,H11-I11,"ERROR")</f>
        <v>3998947.2600000002</v>
      </c>
      <c r="M11" s="9">
        <f t="shared" ref="M11" si="72">ROUND(L11*0.465,2)</f>
        <v>1859510.48</v>
      </c>
      <c r="N11" s="9">
        <f>ROUND(L11*0.3,2)-0.03</f>
        <v>1199684.1499999999</v>
      </c>
      <c r="O11" s="9">
        <f>ROUND(L11*0.1285,2)+0.01</f>
        <v>513864.73</v>
      </c>
      <c r="P11" s="9">
        <f t="shared" ref="P11" si="73">ROUND((L11*0.07)*0.9,2)</f>
        <v>251933.68</v>
      </c>
      <c r="Q11" s="9">
        <f>ROUND(L11*0.01,2)+0.01</f>
        <v>39989.480000000003</v>
      </c>
      <c r="R11" s="9">
        <f t="shared" ref="R11" si="74">ROUND((L11*0.0075)*0.9,2)</f>
        <v>26992.89</v>
      </c>
      <c r="S11" s="9">
        <f t="shared" ref="S11" si="75">ROUND((L11*0.0075)*0.9,2)</f>
        <v>26992.89</v>
      </c>
      <c r="T11" s="9">
        <f>ROUND(L11*0.02,2)+0.01</f>
        <v>79978.959999999992</v>
      </c>
      <c r="U11" s="9">
        <f t="shared" ref="U11" si="76">ROUND(L11*0,2)</f>
        <v>0</v>
      </c>
      <c r="V11" s="42">
        <f t="shared" ref="V11" si="77">E11/W11</f>
        <v>3313.8982259347654</v>
      </c>
      <c r="W11" s="10">
        <v>1257</v>
      </c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</row>
    <row r="12" spans="1:96" ht="15" customHeight="1" x14ac:dyDescent="0.25">
      <c r="A12" s="8">
        <f>Mountaineer!A12</f>
        <v>44058</v>
      </c>
      <c r="B12" s="9">
        <v>50226003.719999999</v>
      </c>
      <c r="C12" s="9">
        <v>45191055.810000002</v>
      </c>
      <c r="D12" s="9">
        <v>698917</v>
      </c>
      <c r="E12" s="9">
        <f t="shared" ref="E12" si="78">B12-C12-D12</f>
        <v>4336030.9099999964</v>
      </c>
      <c r="F12" s="9">
        <f>ROUND(E12*0.04,2)-0.01</f>
        <v>173441.22999999998</v>
      </c>
      <c r="G12" s="9">
        <f t="shared" ref="G12" si="79">ROUND(E12*0,2)</f>
        <v>0</v>
      </c>
      <c r="H12" s="9">
        <f t="shared" ref="H12" si="80">E12-F12-G12</f>
        <v>4162589.6799999964</v>
      </c>
      <c r="I12" s="9">
        <f t="shared" ref="I12" si="81">ROUND(H12*0,2)</f>
        <v>0</v>
      </c>
      <c r="J12" s="9">
        <f t="shared" ref="J12" si="82">ROUND((I12*0.58)+((I12*0.42)*0.1),2)</f>
        <v>0</v>
      </c>
      <c r="K12" s="9">
        <f t="shared" ref="K12" si="83">ROUND((I12*0.42)*0.9,2)</f>
        <v>0</v>
      </c>
      <c r="L12" s="69">
        <f t="shared" ref="L12" si="84">IF(J12+K12=I12,H12-I12,"ERROR")</f>
        <v>4162589.6799999964</v>
      </c>
      <c r="M12" s="9">
        <f t="shared" ref="M12" si="85">ROUND(L12*0.465,2)</f>
        <v>1935604.2</v>
      </c>
      <c r="N12" s="9">
        <f>ROUND(L12*0.3,2)-0.01</f>
        <v>1248776.8899999999</v>
      </c>
      <c r="O12" s="9">
        <f>ROUND(L12*0.1285,2)+0.01</f>
        <v>534892.78</v>
      </c>
      <c r="P12" s="9">
        <f t="shared" ref="P12" si="86">ROUND((L12*0.07)*0.9,2)</f>
        <v>262243.15000000002</v>
      </c>
      <c r="Q12" s="9">
        <f>ROUND(L12*0.01,2)</f>
        <v>41625.9</v>
      </c>
      <c r="R12" s="9">
        <f t="shared" ref="R12" si="87">ROUND((L12*0.0075)*0.9,2)</f>
        <v>28097.48</v>
      </c>
      <c r="S12" s="9">
        <f t="shared" ref="S12" si="88">ROUND((L12*0.0075)*0.9,2)</f>
        <v>28097.48</v>
      </c>
      <c r="T12" s="9">
        <f>ROUND(L12*0.02,2)+0.01</f>
        <v>83251.799999999988</v>
      </c>
      <c r="U12" s="9">
        <f t="shared" ref="U12" si="89">ROUND(L12*0,2)</f>
        <v>0</v>
      </c>
      <c r="V12" s="42">
        <f t="shared" ref="V12" si="90">E12/W12</f>
        <v>3414.197566929131</v>
      </c>
      <c r="W12" s="10">
        <v>1270</v>
      </c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</row>
    <row r="13" spans="1:96" ht="15" customHeight="1" x14ac:dyDescent="0.25">
      <c r="A13" s="8">
        <f>Mountaineer!A13</f>
        <v>44065</v>
      </c>
      <c r="B13" s="9">
        <v>47739522.780000001</v>
      </c>
      <c r="C13" s="9">
        <v>42642066.509999998</v>
      </c>
      <c r="D13" s="9">
        <v>739105</v>
      </c>
      <c r="E13" s="9">
        <f t="shared" ref="E13" si="91">B13-C13-D13</f>
        <v>4358351.2700000033</v>
      </c>
      <c r="F13" s="9">
        <f>ROUND(E13*0.04,2)</f>
        <v>174334.05</v>
      </c>
      <c r="G13" s="9">
        <f t="shared" ref="G13" si="92">ROUND(E13*0,2)</f>
        <v>0</v>
      </c>
      <c r="H13" s="9">
        <f t="shared" ref="H13" si="93">E13-F13-G13</f>
        <v>4184017.2200000035</v>
      </c>
      <c r="I13" s="9">
        <f t="shared" ref="I13" si="94">ROUND(H13*0,2)</f>
        <v>0</v>
      </c>
      <c r="J13" s="9">
        <f t="shared" ref="J13" si="95">ROUND((I13*0.58)+((I13*0.42)*0.1),2)</f>
        <v>0</v>
      </c>
      <c r="K13" s="9">
        <f t="shared" ref="K13" si="96">ROUND((I13*0.42)*0.9,2)</f>
        <v>0</v>
      </c>
      <c r="L13" s="69">
        <f t="shared" ref="L13" si="97">IF(J13+K13=I13,H13-I13,"ERROR")</f>
        <v>4184017.2200000035</v>
      </c>
      <c r="M13" s="9">
        <f t="shared" ref="M13" si="98">ROUND(L13*0.465,2)</f>
        <v>1945568.01</v>
      </c>
      <c r="N13" s="9">
        <f>ROUND(L13*0.3,2)-0.06</f>
        <v>1255205.1099999999</v>
      </c>
      <c r="O13" s="9">
        <f>ROUND(L13*0.1285,2)+0.03</f>
        <v>537646.24</v>
      </c>
      <c r="P13" s="9">
        <f t="shared" ref="P13" si="99">ROUND((L13*0.07)*0.9,2)</f>
        <v>263593.08</v>
      </c>
      <c r="Q13" s="9">
        <f>ROUND(L13*0.01,2)+0.01</f>
        <v>41840.18</v>
      </c>
      <c r="R13" s="9">
        <f t="shared" ref="R13" si="100">ROUND((L13*0.0075)*0.9,2)</f>
        <v>28242.12</v>
      </c>
      <c r="S13" s="9">
        <f t="shared" ref="S13" si="101">ROUND((L13*0.0075)*0.9,2)</f>
        <v>28242.12</v>
      </c>
      <c r="T13" s="9">
        <f>ROUND(L13*0.02,2)+0.02</f>
        <v>83680.36</v>
      </c>
      <c r="U13" s="9">
        <f t="shared" ref="U13" si="102">ROUND(L13*0,2)</f>
        <v>0</v>
      </c>
      <c r="V13" s="42">
        <f t="shared" ref="V13" si="103">E13/W13</f>
        <v>3394.354571651093</v>
      </c>
      <c r="W13" s="10">
        <v>1284</v>
      </c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</row>
    <row r="14" spans="1:96" ht="15" customHeight="1" x14ac:dyDescent="0.25">
      <c r="A14" s="8">
        <f>Mountaineer!A14</f>
        <v>44072</v>
      </c>
      <c r="B14" s="9">
        <v>48232717.159999996</v>
      </c>
      <c r="C14" s="9">
        <v>43324607.130000003</v>
      </c>
      <c r="D14" s="9">
        <v>690124</v>
      </c>
      <c r="E14" s="9">
        <f t="shared" ref="E14" si="104">B14-C14-D14</f>
        <v>4217986.0299999937</v>
      </c>
      <c r="F14" s="9">
        <f>ROUND(E14*0.04,2)</f>
        <v>168719.44</v>
      </c>
      <c r="G14" s="9">
        <f t="shared" ref="G14" si="105">ROUND(E14*0,2)</f>
        <v>0</v>
      </c>
      <c r="H14" s="9">
        <f t="shared" ref="H14" si="106">E14-F14-G14</f>
        <v>4049266.5899999938</v>
      </c>
      <c r="I14" s="9">
        <f t="shared" ref="I14" si="107">ROUND(H14*0,2)</f>
        <v>0</v>
      </c>
      <c r="J14" s="9">
        <f t="shared" ref="J14" si="108">ROUND((I14*0.58)+((I14*0.42)*0.1),2)</f>
        <v>0</v>
      </c>
      <c r="K14" s="9">
        <f t="shared" ref="K14" si="109">ROUND((I14*0.42)*0.9,2)</f>
        <v>0</v>
      </c>
      <c r="L14" s="69">
        <f t="shared" ref="L14" si="110">IF(J14+K14=I14,H14-I14,"ERROR")</f>
        <v>4049266.5899999938</v>
      </c>
      <c r="M14" s="9">
        <f t="shared" ref="M14" si="111">ROUND(L14*0.465,2)</f>
        <v>1882908.96</v>
      </c>
      <c r="N14" s="9">
        <f>ROUND(L14*0.3,2)+0.03</f>
        <v>1214780.01</v>
      </c>
      <c r="O14" s="9">
        <f>ROUND(L14*0.1285,2)-0.02</f>
        <v>520330.74</v>
      </c>
      <c r="P14" s="9">
        <f t="shared" ref="P14" si="112">ROUND((L14*0.07)*0.9,2)</f>
        <v>255103.8</v>
      </c>
      <c r="Q14" s="9">
        <f>ROUND(L14*0.01,2)-0.01</f>
        <v>40492.659999999996</v>
      </c>
      <c r="R14" s="9">
        <f t="shared" ref="R14" si="113">ROUND((L14*0.0075)*0.9,2)</f>
        <v>27332.55</v>
      </c>
      <c r="S14" s="9">
        <f t="shared" ref="S14" si="114">ROUND((L14*0.0075)*0.9,2)</f>
        <v>27332.55</v>
      </c>
      <c r="T14" s="9">
        <f>ROUND(L14*0.02,2)-0.01</f>
        <v>80985.320000000007</v>
      </c>
      <c r="U14" s="9">
        <f t="shared" ref="U14" si="115">ROUND(L14*0,2)</f>
        <v>0</v>
      </c>
      <c r="V14" s="42">
        <f t="shared" ref="V14" si="116">E14/W14</f>
        <v>3292.7291412958575</v>
      </c>
      <c r="W14" s="10">
        <v>1281</v>
      </c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</row>
    <row r="15" spans="1:96" ht="15" customHeight="1" x14ac:dyDescent="0.25">
      <c r="A15" s="8">
        <f>Mountaineer!A15</f>
        <v>44079</v>
      </c>
      <c r="B15" s="9">
        <v>50529676.469999999</v>
      </c>
      <c r="C15" s="9">
        <v>45461430.100000001</v>
      </c>
      <c r="D15" s="9">
        <v>836479</v>
      </c>
      <c r="E15" s="9">
        <f t="shared" ref="E15" si="117">B15-C15-D15</f>
        <v>4231767.3699999973</v>
      </c>
      <c r="F15" s="9">
        <f>ROUND(E15*0.04,2)+0.01</f>
        <v>169270.7</v>
      </c>
      <c r="G15" s="9">
        <f t="shared" ref="G15" si="118">ROUND(E15*0,2)</f>
        <v>0</v>
      </c>
      <c r="H15" s="9">
        <f t="shared" ref="H15" si="119">E15-F15-G15</f>
        <v>4062496.6699999971</v>
      </c>
      <c r="I15" s="9">
        <f t="shared" ref="I15" si="120">ROUND(H15*0,2)</f>
        <v>0</v>
      </c>
      <c r="J15" s="9">
        <f t="shared" ref="J15" si="121">ROUND((I15*0.58)+((I15*0.42)*0.1),2)</f>
        <v>0</v>
      </c>
      <c r="K15" s="9">
        <f t="shared" ref="K15" si="122">ROUND((I15*0.42)*0.9,2)</f>
        <v>0</v>
      </c>
      <c r="L15" s="69">
        <f t="shared" ref="L15" si="123">IF(J15+K15=I15,H15-I15,"ERROR")</f>
        <v>4062496.6699999971</v>
      </c>
      <c r="M15" s="9">
        <f t="shared" ref="M15" si="124">ROUND(L15*0.465,2)</f>
        <v>1889060.95</v>
      </c>
      <c r="N15" s="9">
        <f>ROUND(L15*0.3,2)+0.03</f>
        <v>1218749.03</v>
      </c>
      <c r="O15" s="9">
        <f>ROUND(L15*0.1285,2)</f>
        <v>522030.82</v>
      </c>
      <c r="P15" s="9">
        <f t="shared" ref="P15" si="125">ROUND((L15*0.07)*0.9,2)</f>
        <v>255937.29</v>
      </c>
      <c r="Q15" s="9">
        <f>ROUND(L15*0.01,2)-0.01</f>
        <v>40624.959999999999</v>
      </c>
      <c r="R15" s="9">
        <f t="shared" ref="R15" si="126">ROUND((L15*0.0075)*0.9,2)</f>
        <v>27421.85</v>
      </c>
      <c r="S15" s="9">
        <f t="shared" ref="S15" si="127">ROUND((L15*0.0075)*0.9,2)</f>
        <v>27421.85</v>
      </c>
      <c r="T15" s="9">
        <f>ROUND(L15*0.02,2)-0.01</f>
        <v>81249.919999999998</v>
      </c>
      <c r="U15" s="9">
        <f t="shared" ref="U15" si="128">ROUND(L15*0,2)</f>
        <v>0</v>
      </c>
      <c r="V15" s="42">
        <f t="shared" ref="V15" si="129">E15/W15</f>
        <v>3290.6433670295469</v>
      </c>
      <c r="W15" s="10">
        <v>1286</v>
      </c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</row>
    <row r="16" spans="1:96" ht="15" customHeight="1" x14ac:dyDescent="0.25">
      <c r="A16" s="8">
        <f>Mountaineer!A16</f>
        <v>44086</v>
      </c>
      <c r="B16" s="9">
        <v>55410152.25</v>
      </c>
      <c r="C16" s="9">
        <v>49877962.409999996</v>
      </c>
      <c r="D16" s="9">
        <v>850655</v>
      </c>
      <c r="E16" s="9">
        <f t="shared" ref="E16" si="130">B16-C16-D16</f>
        <v>4681534.8400000036</v>
      </c>
      <c r="F16" s="9">
        <f>ROUND(E16*0.04,2)</f>
        <v>187261.39</v>
      </c>
      <c r="G16" s="9">
        <f t="shared" ref="G16" si="131">ROUND(E16*0,2)</f>
        <v>0</v>
      </c>
      <c r="H16" s="9">
        <f t="shared" ref="H16" si="132">E16-F16-G16</f>
        <v>4494273.4500000039</v>
      </c>
      <c r="I16" s="9">
        <f t="shared" ref="I16" si="133">ROUND(H16*0,2)</f>
        <v>0</v>
      </c>
      <c r="J16" s="9">
        <f t="shared" ref="J16" si="134">ROUND((I16*0.58)+((I16*0.42)*0.1),2)</f>
        <v>0</v>
      </c>
      <c r="K16" s="9">
        <f t="shared" ref="K16" si="135">ROUND((I16*0.42)*0.9,2)</f>
        <v>0</v>
      </c>
      <c r="L16" s="69">
        <f t="shared" ref="L16" si="136">IF(J16+K16=I16,H16-I16,"ERROR")</f>
        <v>4494273.4500000039</v>
      </c>
      <c r="M16" s="9">
        <f t="shared" ref="M16" si="137">ROUND(L16*0.465,2)</f>
        <v>2089837.15</v>
      </c>
      <c r="N16" s="9">
        <f>ROUND(L16*0.3,2)-0.03</f>
        <v>1348282.01</v>
      </c>
      <c r="O16" s="9">
        <f>ROUND(L16*0.1285,2)</f>
        <v>577514.14</v>
      </c>
      <c r="P16" s="9">
        <f t="shared" ref="P16" si="138">ROUND((L16*0.07)*0.9,2)</f>
        <v>283139.23</v>
      </c>
      <c r="Q16" s="9">
        <f>ROUND(L16*0.01,2)+0.01</f>
        <v>44942.740000000005</v>
      </c>
      <c r="R16" s="9">
        <f t="shared" ref="R16" si="139">ROUND((L16*0.0075)*0.9,2)</f>
        <v>30336.35</v>
      </c>
      <c r="S16" s="9">
        <f t="shared" ref="S16" si="140">ROUND((L16*0.0075)*0.9,2)</f>
        <v>30336.35</v>
      </c>
      <c r="T16" s="9">
        <f>ROUND(L16*0.02,2)+0.01</f>
        <v>89885.48</v>
      </c>
      <c r="U16" s="9">
        <f t="shared" ref="U16" si="141">ROUND(L16*0,2)</f>
        <v>0</v>
      </c>
      <c r="V16" s="42">
        <f t="shared" ref="V16" si="142">E16/W16</f>
        <v>3609.5102852737114</v>
      </c>
      <c r="W16" s="10">
        <v>1297</v>
      </c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</row>
    <row r="17" spans="1:96" ht="15" customHeight="1" x14ac:dyDescent="0.25">
      <c r="A17" s="8">
        <f>Mountaineer!A17</f>
        <v>44093</v>
      </c>
      <c r="B17" s="9">
        <v>48688852.280000001</v>
      </c>
      <c r="C17" s="9">
        <v>43940000.640000001</v>
      </c>
      <c r="D17" s="9">
        <v>731397</v>
      </c>
      <c r="E17" s="9">
        <f t="shared" ref="E17" si="143">B17-C17-D17</f>
        <v>4017454.6400000006</v>
      </c>
      <c r="F17" s="9">
        <f>ROUND(E17*0.04,2)+0.01</f>
        <v>160698.20000000001</v>
      </c>
      <c r="G17" s="9">
        <f t="shared" ref="G17" si="144">ROUND(E17*0,2)</f>
        <v>0</v>
      </c>
      <c r="H17" s="9">
        <f t="shared" ref="H17" si="145">E17-F17-G17</f>
        <v>3856756.4400000004</v>
      </c>
      <c r="I17" s="9">
        <f t="shared" ref="I17" si="146">ROUND(H17*0,2)</f>
        <v>0</v>
      </c>
      <c r="J17" s="9">
        <f t="shared" ref="J17" si="147">ROUND((I17*0.58)+((I17*0.42)*0.1),2)</f>
        <v>0</v>
      </c>
      <c r="K17" s="9">
        <f t="shared" ref="K17" si="148">ROUND((I17*0.42)*0.9,2)</f>
        <v>0</v>
      </c>
      <c r="L17" s="69">
        <f t="shared" ref="L17" si="149">IF(J17+K17=I17,H17-I17,"ERROR")</f>
        <v>3856756.4400000004</v>
      </c>
      <c r="M17" s="9">
        <f t="shared" ref="M17" si="150">ROUND(L17*0.465,2)</f>
        <v>1793391.74</v>
      </c>
      <c r="N17" s="9">
        <f>ROUND(L17*0.3,2)+0.04</f>
        <v>1157026.97</v>
      </c>
      <c r="O17" s="9">
        <f>ROUND(L17*0.1285,2)-0.03</f>
        <v>495593.17</v>
      </c>
      <c r="P17" s="9">
        <f t="shared" ref="P17" si="151">ROUND((L17*0.07)*0.9,2)</f>
        <v>242975.66</v>
      </c>
      <c r="Q17" s="9">
        <f>ROUND(L17*0.01,2)</f>
        <v>38567.56</v>
      </c>
      <c r="R17" s="9">
        <f t="shared" ref="R17" si="152">ROUND((L17*0.0075)*0.9,2)</f>
        <v>26033.11</v>
      </c>
      <c r="S17" s="9">
        <f t="shared" ref="S17" si="153">ROUND((L17*0.0075)*0.9,2)</f>
        <v>26033.11</v>
      </c>
      <c r="T17" s="9">
        <v>75373.86</v>
      </c>
      <c r="U17" s="9">
        <v>1761.26</v>
      </c>
      <c r="V17" s="42">
        <f t="shared" ref="V17" si="154">E17/W17</f>
        <v>3170.8402841357542</v>
      </c>
      <c r="W17" s="10">
        <v>1267</v>
      </c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</row>
    <row r="18" spans="1:96" ht="15" customHeight="1" x14ac:dyDescent="0.25">
      <c r="A18" s="8">
        <f>Mountaineer!A18</f>
        <v>44100</v>
      </c>
      <c r="B18" s="9">
        <v>48583138.270000003</v>
      </c>
      <c r="C18" s="9">
        <v>43737371.130000003</v>
      </c>
      <c r="D18" s="9">
        <v>762175</v>
      </c>
      <c r="E18" s="9">
        <f t="shared" ref="E18" si="155">B18-C18-D18</f>
        <v>4083592.1400000006</v>
      </c>
      <c r="F18" s="9">
        <f>ROUND(E18*0.04,2)-0.01</f>
        <v>163343.67999999999</v>
      </c>
      <c r="G18" s="9">
        <f t="shared" ref="G18" si="156">ROUND(E18*0,2)</f>
        <v>0</v>
      </c>
      <c r="H18" s="9">
        <f t="shared" ref="H18" si="157">E18-F18-G18</f>
        <v>3920248.4600000004</v>
      </c>
      <c r="I18" s="9">
        <f t="shared" ref="I18" si="158">ROUND(H18*0,2)</f>
        <v>0</v>
      </c>
      <c r="J18" s="9">
        <f t="shared" ref="J18" si="159">ROUND((I18*0.58)+((I18*0.42)*0.1),2)</f>
        <v>0</v>
      </c>
      <c r="K18" s="9">
        <f t="shared" ref="K18" si="160">ROUND((I18*0.42)*0.9,2)</f>
        <v>0</v>
      </c>
      <c r="L18" s="69">
        <f t="shared" ref="L18" si="161">IF(J18+K18=I18,H18-I18,"ERROR")</f>
        <v>3920248.4600000004</v>
      </c>
      <c r="M18" s="9">
        <f t="shared" ref="M18" si="162">ROUND(L18*0.465,2)</f>
        <v>1822915.53</v>
      </c>
      <c r="N18" s="9">
        <f>ROUND(L18*0.3,2)+0.03</f>
        <v>1176074.57</v>
      </c>
      <c r="O18" s="9">
        <f>ROUND(L18*0.1285,2)-0.02</f>
        <v>503751.91</v>
      </c>
      <c r="P18" s="9">
        <f t="shared" ref="P18" si="163">ROUND((L18*0.07)*0.9,2)</f>
        <v>246975.65</v>
      </c>
      <c r="Q18" s="9">
        <f>ROUND(L18*0.01,2)</f>
        <v>39202.480000000003</v>
      </c>
      <c r="R18" s="9">
        <f t="shared" ref="R18" si="164">ROUND((L18*0.0075)*0.9,2)</f>
        <v>26461.68</v>
      </c>
      <c r="S18" s="9">
        <f t="shared" ref="S18" si="165">ROUND((L18*0.0075)*0.9,2)</f>
        <v>26461.68</v>
      </c>
      <c r="T18" s="9">
        <f>ROUND(L18*0.02,2)/2-0.005</f>
        <v>39202.480000000003</v>
      </c>
      <c r="U18" s="9">
        <f>ROUND(L18*0.02,2)/2-0.005</f>
        <v>39202.480000000003</v>
      </c>
      <c r="V18" s="42">
        <f t="shared" ref="V18" si="166">E18/W18</f>
        <v>3363.7497034596381</v>
      </c>
      <c r="W18" s="10">
        <v>1214</v>
      </c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</row>
    <row r="19" spans="1:96" ht="15" customHeight="1" x14ac:dyDescent="0.25">
      <c r="A19" s="8">
        <f>Mountaineer!A19</f>
        <v>44107</v>
      </c>
      <c r="B19" s="9">
        <v>47994164.299999997</v>
      </c>
      <c r="C19" s="9">
        <v>43219716.719999999</v>
      </c>
      <c r="D19" s="9">
        <v>697725</v>
      </c>
      <c r="E19" s="9">
        <f t="shared" ref="E19" si="167">B19-C19-D19</f>
        <v>4076722.5799999982</v>
      </c>
      <c r="F19" s="9">
        <f>ROUND(E19*0.04,2)</f>
        <v>163068.9</v>
      </c>
      <c r="G19" s="9">
        <f t="shared" ref="G19" si="168">ROUND(E19*0,2)</f>
        <v>0</v>
      </c>
      <c r="H19" s="9">
        <f t="shared" ref="H19" si="169">E19-F19-G19</f>
        <v>3913653.6799999983</v>
      </c>
      <c r="I19" s="9">
        <f t="shared" ref="I19" si="170">ROUND(H19*0,2)</f>
        <v>0</v>
      </c>
      <c r="J19" s="9">
        <f t="shared" ref="J19" si="171">ROUND((I19*0.58)+((I19*0.42)*0.1),2)</f>
        <v>0</v>
      </c>
      <c r="K19" s="9">
        <f t="shared" ref="K19" si="172">ROUND((I19*0.42)*0.9,2)</f>
        <v>0</v>
      </c>
      <c r="L19" s="69">
        <f t="shared" ref="L19" si="173">IF(J19+K19=I19,H19-I19,"ERROR")</f>
        <v>3913653.6799999983</v>
      </c>
      <c r="M19" s="9">
        <f t="shared" ref="M19" si="174">ROUND(L19*0.465,2)</f>
        <v>1819848.96</v>
      </c>
      <c r="N19" s="9">
        <f>ROUND(L19*0.3,2)-0.01</f>
        <v>1174096.0900000001</v>
      </c>
      <c r="O19" s="9">
        <f>ROUND(L19*0.1285,2)+0.01</f>
        <v>502904.51</v>
      </c>
      <c r="P19" s="9">
        <f t="shared" ref="P19" si="175">ROUND((L19*0.07)*0.9,2)</f>
        <v>246560.18</v>
      </c>
      <c r="Q19" s="9">
        <f>ROUND(L19*0.01,2)</f>
        <v>39136.54</v>
      </c>
      <c r="R19" s="9">
        <f t="shared" ref="R19" si="176">ROUND((L19*0.0075)*0.9,2)</f>
        <v>26417.16</v>
      </c>
      <c r="S19" s="9">
        <f t="shared" ref="S19" si="177">ROUND((L19*0.0075)*0.9,2)</f>
        <v>26417.16</v>
      </c>
      <c r="T19" s="9">
        <f t="shared" ref="T19:T22" si="178">ROUND(L19*0.02,2)/2</f>
        <v>39136.535000000003</v>
      </c>
      <c r="U19" s="9">
        <f t="shared" ref="U19:U20" si="179">ROUND(L19*0.02,2)/2</f>
        <v>39136.535000000003</v>
      </c>
      <c r="V19" s="42">
        <f t="shared" ref="V19" si="180">E19/W19</f>
        <v>3699.3852813067133</v>
      </c>
      <c r="W19" s="10">
        <v>1102</v>
      </c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</row>
    <row r="20" spans="1:96" ht="15" customHeight="1" x14ac:dyDescent="0.25">
      <c r="A20" s="8">
        <f>Mountaineer!A20</f>
        <v>44114</v>
      </c>
      <c r="B20" s="9">
        <v>46867509.609999999</v>
      </c>
      <c r="C20" s="9">
        <v>41838848.189999998</v>
      </c>
      <c r="D20" s="9">
        <v>680008</v>
      </c>
      <c r="E20" s="9">
        <f t="shared" ref="E20" si="181">B20-C20-D20</f>
        <v>4348653.4200000018</v>
      </c>
      <c r="F20" s="9">
        <f>ROUND(E20*0.04,2)+0.01</f>
        <v>173946.15000000002</v>
      </c>
      <c r="G20" s="9">
        <f t="shared" ref="G20" si="182">ROUND(E20*0,2)</f>
        <v>0</v>
      </c>
      <c r="H20" s="9">
        <f t="shared" ref="H20" si="183">E20-F20-G20</f>
        <v>4174707.2700000019</v>
      </c>
      <c r="I20" s="9">
        <f t="shared" ref="I20" si="184">ROUND(H20*0,2)</f>
        <v>0</v>
      </c>
      <c r="J20" s="9">
        <f t="shared" ref="J20" si="185">ROUND((I20*0.58)+((I20*0.42)*0.1),2)</f>
        <v>0</v>
      </c>
      <c r="K20" s="9">
        <f t="shared" ref="K20" si="186">ROUND((I20*0.42)*0.9,2)</f>
        <v>0</v>
      </c>
      <c r="L20" s="69">
        <f t="shared" ref="L20" si="187">IF(J20+K20=I20,H20-I20,"ERROR")</f>
        <v>4174707.2700000019</v>
      </c>
      <c r="M20" s="9">
        <f t="shared" ref="M20" si="188">ROUND(L20*0.465,2)</f>
        <v>1941238.88</v>
      </c>
      <c r="N20" s="9">
        <f>ROUND(L20*0.3,2)-0.02</f>
        <v>1252412.1599999999</v>
      </c>
      <c r="O20" s="9">
        <f>ROUND(L20*0.1285,2)+0.01</f>
        <v>536449.89</v>
      </c>
      <c r="P20" s="9">
        <f t="shared" ref="P20" si="189">ROUND((L20*0.07)*0.9,2)</f>
        <v>263006.56</v>
      </c>
      <c r="Q20" s="9">
        <f>ROUND(L20*0.01,2)+0.01</f>
        <v>41747.08</v>
      </c>
      <c r="R20" s="9">
        <f t="shared" ref="R20" si="190">ROUND((L20*0.0075)*0.9,2)</f>
        <v>28179.27</v>
      </c>
      <c r="S20" s="9">
        <f t="shared" ref="S20" si="191">ROUND((L20*0.0075)*0.9,2)</f>
        <v>28179.27</v>
      </c>
      <c r="T20" s="9">
        <f t="shared" si="178"/>
        <v>41747.074999999997</v>
      </c>
      <c r="U20" s="9">
        <f t="shared" si="179"/>
        <v>41747.074999999997</v>
      </c>
      <c r="V20" s="42">
        <f t="shared" ref="V20" si="192">E20/W20</f>
        <v>4087.080281954889</v>
      </c>
      <c r="W20" s="10">
        <v>1064</v>
      </c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</row>
    <row r="21" spans="1:96" ht="15" customHeight="1" x14ac:dyDescent="0.25">
      <c r="A21" s="8">
        <f>Mountaineer!A21</f>
        <v>44121</v>
      </c>
      <c r="B21" s="9">
        <v>49208029.5</v>
      </c>
      <c r="C21" s="9">
        <v>44346018.999999993</v>
      </c>
      <c r="D21" s="9">
        <v>689643</v>
      </c>
      <c r="E21" s="9">
        <f t="shared" ref="E21" si="193">B21-C21-D21</f>
        <v>4172367.5000000075</v>
      </c>
      <c r="F21" s="9">
        <f>ROUND(E21*0.04,2)+0.01</f>
        <v>166894.71000000002</v>
      </c>
      <c r="G21" s="9">
        <f t="shared" ref="G21" si="194">ROUND(E21*0,2)</f>
        <v>0</v>
      </c>
      <c r="H21" s="9">
        <f t="shared" ref="H21" si="195">E21-F21-G21</f>
        <v>4005472.7900000075</v>
      </c>
      <c r="I21" s="9">
        <f t="shared" ref="I21" si="196">ROUND(H21*0,2)</f>
        <v>0</v>
      </c>
      <c r="J21" s="9">
        <f t="shared" ref="J21" si="197">ROUND((I21*0.58)+((I21*0.42)*0.1),2)</f>
        <v>0</v>
      </c>
      <c r="K21" s="9">
        <f t="shared" ref="K21" si="198">ROUND((I21*0.42)*0.9,2)</f>
        <v>0</v>
      </c>
      <c r="L21" s="69">
        <f t="shared" ref="L21" si="199">IF(J21+K21=I21,H21-I21,"ERROR")</f>
        <v>4005472.7900000075</v>
      </c>
      <c r="M21" s="9">
        <f t="shared" ref="M21" si="200">ROUND(L21*0.465,2)</f>
        <v>1862544.85</v>
      </c>
      <c r="N21" s="9">
        <f>ROUND(L21*0.3,2)+0.02</f>
        <v>1201641.8600000001</v>
      </c>
      <c r="O21" s="9">
        <f>ROUND(L21*0.1285,2)</f>
        <v>514703.25</v>
      </c>
      <c r="P21" s="9">
        <f t="shared" ref="P21" si="201">ROUND((L21*0.07)*0.9,2)</f>
        <v>252344.79</v>
      </c>
      <c r="Q21" s="9">
        <f>ROUND(L21*0.01,2)-0.01</f>
        <v>40054.720000000001</v>
      </c>
      <c r="R21" s="9">
        <f t="shared" ref="R21" si="202">ROUND((L21*0.0075)*0.9,2)</f>
        <v>27036.94</v>
      </c>
      <c r="S21" s="9">
        <f t="shared" ref="S21" si="203">ROUND((L21*0.0075)*0.9,2)</f>
        <v>27036.94</v>
      </c>
      <c r="T21" s="9">
        <f>ROUND(L21*0.02,2)/2-0.007</f>
        <v>40054.723000000005</v>
      </c>
      <c r="U21" s="9">
        <f>ROUND(L21*0.02,2)/2-0.007</f>
        <v>40054.723000000005</v>
      </c>
      <c r="V21" s="42">
        <f t="shared" ref="V21" si="204">E21/W21</f>
        <v>3786.1774047187</v>
      </c>
      <c r="W21" s="10">
        <v>1102</v>
      </c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</row>
    <row r="22" spans="1:96" ht="15" customHeight="1" x14ac:dyDescent="0.25">
      <c r="A22" s="8">
        <f>Mountaineer!A22</f>
        <v>44128</v>
      </c>
      <c r="B22" s="9">
        <v>47454095.229999997</v>
      </c>
      <c r="C22" s="9">
        <v>42523877.859999999</v>
      </c>
      <c r="D22" s="9">
        <v>755105</v>
      </c>
      <c r="E22" s="9">
        <f t="shared" ref="E22" si="205">B22-C22-D22</f>
        <v>4175112.3699999973</v>
      </c>
      <c r="F22" s="9">
        <f>ROUND(E22*0.04,2)</f>
        <v>167004.49</v>
      </c>
      <c r="G22" s="9">
        <f t="shared" ref="G22" si="206">ROUND(E22*0,2)</f>
        <v>0</v>
      </c>
      <c r="H22" s="9">
        <f t="shared" ref="H22" si="207">E22-F22-G22</f>
        <v>4008107.8799999971</v>
      </c>
      <c r="I22" s="9">
        <f t="shared" ref="I22" si="208">ROUND(H22*0,2)</f>
        <v>0</v>
      </c>
      <c r="J22" s="9">
        <f t="shared" ref="J22" si="209">ROUND((I22*0.58)+((I22*0.42)*0.1),2)</f>
        <v>0</v>
      </c>
      <c r="K22" s="9">
        <f t="shared" ref="K22" si="210">ROUND((I22*0.42)*0.9,2)</f>
        <v>0</v>
      </c>
      <c r="L22" s="69">
        <f t="shared" ref="L22" si="211">IF(J22+K22=I22,H22-I22,"ERROR")</f>
        <v>4008107.8799999971</v>
      </c>
      <c r="M22" s="9">
        <f t="shared" ref="M22" si="212">ROUND(L22*0.465,2)</f>
        <v>1863770.16</v>
      </c>
      <c r="N22" s="9">
        <f>ROUND(L22*0.3,2)+0.01</f>
        <v>1202432.3700000001</v>
      </c>
      <c r="O22" s="9">
        <f>ROUND(L22*0.1285,2)-0.01</f>
        <v>515041.85</v>
      </c>
      <c r="P22" s="9">
        <f t="shared" ref="P22" si="213">ROUND((L22*0.07)*0.9,2)</f>
        <v>252510.8</v>
      </c>
      <c r="Q22" s="9">
        <f>ROUND(L22*0.01,2)</f>
        <v>40081.08</v>
      </c>
      <c r="R22" s="9">
        <f t="shared" ref="R22" si="214">ROUND((L22*0.0075)*0.9,2)</f>
        <v>27054.73</v>
      </c>
      <c r="S22" s="9">
        <f t="shared" ref="S22" si="215">ROUND((L22*0.0075)*0.9,2)</f>
        <v>27054.73</v>
      </c>
      <c r="T22" s="9">
        <f t="shared" si="178"/>
        <v>40081.08</v>
      </c>
      <c r="U22" s="9">
        <f>ROUND(L22*0.02,2)/2</f>
        <v>40081.08</v>
      </c>
      <c r="V22" s="42">
        <f t="shared" ref="V22" si="216">E22/W22</f>
        <v>3464.8235435684624</v>
      </c>
      <c r="W22" s="10">
        <v>1205</v>
      </c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</row>
    <row r="23" spans="1:96" ht="15" customHeight="1" x14ac:dyDescent="0.25">
      <c r="A23" s="8">
        <f>Mountaineer!A23</f>
        <v>44135</v>
      </c>
      <c r="B23" s="9">
        <v>49021092.68</v>
      </c>
      <c r="C23" s="9">
        <v>43879370.079999998</v>
      </c>
      <c r="D23" s="9">
        <v>710474</v>
      </c>
      <c r="E23" s="9">
        <f t="shared" ref="E23" si="217">B23-C23-D23</f>
        <v>4431248.6000000015</v>
      </c>
      <c r="F23" s="9">
        <f>ROUND(E23*0.04,2)+0.01</f>
        <v>177249.95</v>
      </c>
      <c r="G23" s="9">
        <f t="shared" ref="G23" si="218">ROUND(E23*0,2)</f>
        <v>0</v>
      </c>
      <c r="H23" s="9">
        <f t="shared" ref="H23" si="219">E23-F23-G23</f>
        <v>4253998.6500000013</v>
      </c>
      <c r="I23" s="9">
        <f t="shared" ref="I23" si="220">ROUND(H23*0,2)</f>
        <v>0</v>
      </c>
      <c r="J23" s="9">
        <f t="shared" ref="J23" si="221">ROUND((I23*0.58)+((I23*0.42)*0.1),2)</f>
        <v>0</v>
      </c>
      <c r="K23" s="9">
        <f t="shared" ref="K23" si="222">ROUND((I23*0.42)*0.9,2)</f>
        <v>0</v>
      </c>
      <c r="L23" s="69">
        <f t="shared" ref="L23" si="223">IF(J23+K23=I23,H23-I23,"ERROR")</f>
        <v>4253998.6500000013</v>
      </c>
      <c r="M23" s="9">
        <f t="shared" ref="M23" si="224">ROUND(L23*0.465,2)</f>
        <v>1978109.37</v>
      </c>
      <c r="N23" s="9">
        <f>ROUND(L23*0.3,2)+0.03</f>
        <v>1276199.6300000001</v>
      </c>
      <c r="O23" s="9">
        <f>ROUND(L23*0.1285,2)-0.01</f>
        <v>546638.81999999995</v>
      </c>
      <c r="P23" s="9">
        <f t="shared" ref="P23" si="225">ROUND((L23*0.07)*0.9,2)</f>
        <v>268001.90999999997</v>
      </c>
      <c r="Q23" s="9">
        <f>ROUND(L23*0.01,2)-0.01</f>
        <v>42539.979999999996</v>
      </c>
      <c r="R23" s="9">
        <f t="shared" ref="R23" si="226">ROUND((L23*0.0075)*0.9,2)</f>
        <v>28714.49</v>
      </c>
      <c r="S23" s="9">
        <f t="shared" ref="S23" si="227">ROUND((L23*0.0075)*0.9,2)</f>
        <v>28714.49</v>
      </c>
      <c r="T23" s="9">
        <f>ROUND(L23*0.02,2)/2-0.005</f>
        <v>42539.98</v>
      </c>
      <c r="U23" s="9">
        <f>ROUND(L23*0.02,2)/2-0.005</f>
        <v>42539.98</v>
      </c>
      <c r="V23" s="42">
        <f t="shared" ref="V23" si="228">E23/W23</f>
        <v>3668.2521523178821</v>
      </c>
      <c r="W23" s="10">
        <v>1208</v>
      </c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</row>
    <row r="24" spans="1:96" ht="15" customHeight="1" x14ac:dyDescent="0.25">
      <c r="A24" s="8">
        <f>Mountaineer!A24</f>
        <v>44142</v>
      </c>
      <c r="B24" s="9">
        <v>46261753.920000002</v>
      </c>
      <c r="C24" s="9">
        <v>41532286.490000002</v>
      </c>
      <c r="D24" s="9">
        <v>703053</v>
      </c>
      <c r="E24" s="9">
        <f t="shared" ref="E24" si="229">B24-C24-D24</f>
        <v>4026414.4299999997</v>
      </c>
      <c r="F24" s="9">
        <f>ROUND(E24*0.04,2)</f>
        <v>161056.57999999999</v>
      </c>
      <c r="G24" s="9">
        <f t="shared" ref="G24" si="230">ROUND(E24*0,2)</f>
        <v>0</v>
      </c>
      <c r="H24" s="9">
        <f t="shared" ref="H24" si="231">E24-F24-G24</f>
        <v>3865357.8499999996</v>
      </c>
      <c r="I24" s="9">
        <f t="shared" ref="I24" si="232">ROUND(H24*0,2)</f>
        <v>0</v>
      </c>
      <c r="J24" s="9">
        <f t="shared" ref="J24" si="233">ROUND((I24*0.58)+((I24*0.42)*0.1),2)</f>
        <v>0</v>
      </c>
      <c r="K24" s="9">
        <f t="shared" ref="K24" si="234">ROUND((I24*0.42)*0.9,2)</f>
        <v>0</v>
      </c>
      <c r="L24" s="69">
        <f t="shared" ref="L24" si="235">IF(J24+K24=I24,H24-I24,"ERROR")</f>
        <v>3865357.8499999996</v>
      </c>
      <c r="M24" s="9">
        <f t="shared" ref="M24" si="236">ROUND(L24*0.465,2)</f>
        <v>1797391.4</v>
      </c>
      <c r="N24" s="9">
        <f>ROUND(L24*0.3,2)-0.01</f>
        <v>1159607.3500000001</v>
      </c>
      <c r="O24" s="9">
        <f>ROUND(L24*0.1285,2)</f>
        <v>496698.48</v>
      </c>
      <c r="P24" s="9">
        <f t="shared" ref="P24" si="237">ROUND((L24*0.07)*0.9,2)</f>
        <v>243517.54</v>
      </c>
      <c r="Q24" s="9">
        <f>ROUND(L24*0.01,2)</f>
        <v>38653.58</v>
      </c>
      <c r="R24" s="9">
        <f t="shared" ref="R24" si="238">ROUND((L24*0.0075)*0.9,2)</f>
        <v>26091.17</v>
      </c>
      <c r="S24" s="9">
        <f t="shared" ref="S24" si="239">ROUND((L24*0.0075)*0.9,2)</f>
        <v>26091.17</v>
      </c>
      <c r="T24" s="9">
        <f>ROUND(L24*0.02,2)/2</f>
        <v>38653.58</v>
      </c>
      <c r="U24" s="9">
        <f>ROUND(L24*0.02,2)/2</f>
        <v>38653.58</v>
      </c>
      <c r="V24" s="42">
        <f t="shared" ref="V24" si="240">E24/W24</f>
        <v>3305.7589737274216</v>
      </c>
      <c r="W24" s="10">
        <v>1218</v>
      </c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</row>
    <row r="25" spans="1:96" ht="15" customHeight="1" x14ac:dyDescent="0.25">
      <c r="A25" s="8">
        <f>Mountaineer!A25</f>
        <v>44149</v>
      </c>
      <c r="B25" s="9">
        <v>44829772.670000002</v>
      </c>
      <c r="C25" s="9">
        <v>40178709.880000003</v>
      </c>
      <c r="D25" s="9">
        <v>629564</v>
      </c>
      <c r="E25" s="9">
        <f t="shared" ref="E25" si="241">B25-C25-D25</f>
        <v>4021498.7899999991</v>
      </c>
      <c r="F25" s="9">
        <f>ROUND(E25*0.04,2)-0.01</f>
        <v>160859.94</v>
      </c>
      <c r="G25" s="9">
        <f t="shared" ref="G25" si="242">ROUND(E25*0,2)</f>
        <v>0</v>
      </c>
      <c r="H25" s="9">
        <f t="shared" ref="H25" si="243">E25-F25-G25</f>
        <v>3860638.8499999992</v>
      </c>
      <c r="I25" s="9">
        <f t="shared" ref="I25" si="244">ROUND(H25*0,2)</f>
        <v>0</v>
      </c>
      <c r="J25" s="9">
        <f t="shared" ref="J25" si="245">ROUND((I25*0.58)+((I25*0.42)*0.1),2)</f>
        <v>0</v>
      </c>
      <c r="K25" s="9">
        <f t="shared" ref="K25" si="246">ROUND((I25*0.42)*0.9,2)</f>
        <v>0</v>
      </c>
      <c r="L25" s="69">
        <f t="shared" ref="L25" si="247">IF(J25+K25=I25,H25-I25,"ERROR")</f>
        <v>3860638.8499999992</v>
      </c>
      <c r="M25" s="9">
        <f t="shared" ref="M25" si="248">ROUND(L25*0.465,2)</f>
        <v>1795197.07</v>
      </c>
      <c r="N25" s="9">
        <f>ROUND(L25*0.3,2)+0.04</f>
        <v>1158191.7</v>
      </c>
      <c r="O25" s="9">
        <f>ROUND(L25*0.1285,2)-0.02</f>
        <v>496092.07</v>
      </c>
      <c r="P25" s="9">
        <f t="shared" ref="P25" si="249">ROUND((L25*0.07)*0.9,2)</f>
        <v>243220.25</v>
      </c>
      <c r="Q25" s="9">
        <f>ROUND(L25*0.01,2)-0.01</f>
        <v>38606.379999999997</v>
      </c>
      <c r="R25" s="9">
        <f t="shared" ref="R25" si="250">ROUND((L25*0.0075)*0.9,2)</f>
        <v>26059.31</v>
      </c>
      <c r="S25" s="9">
        <f t="shared" ref="S25" si="251">ROUND((L25*0.0075)*0.9,2)</f>
        <v>26059.31</v>
      </c>
      <c r="T25" s="9">
        <f>ROUND(L25*0.02,2)/2-0.007</f>
        <v>38606.383000000002</v>
      </c>
      <c r="U25" s="9">
        <f>ROUND(L25*0.02,2)/2-0.007</f>
        <v>38606.383000000002</v>
      </c>
      <c r="V25" s="42">
        <f t="shared" ref="V25" si="252">E25/W25</f>
        <v>3299.0145939294498</v>
      </c>
      <c r="W25" s="10">
        <v>1219</v>
      </c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</row>
    <row r="26" spans="1:96" ht="15" customHeight="1" x14ac:dyDescent="0.25">
      <c r="A26" s="8">
        <f>Mountaineer!A26</f>
        <v>44156</v>
      </c>
      <c r="B26" s="9">
        <v>35184489.129999995</v>
      </c>
      <c r="C26" s="9">
        <v>31723311.909999996</v>
      </c>
      <c r="D26" s="9">
        <v>599662</v>
      </c>
      <c r="E26" s="9">
        <f t="shared" ref="E26" si="253">B26-C26-D26</f>
        <v>2861515.2199999988</v>
      </c>
      <c r="F26" s="9">
        <f>ROUND(E26*0.04,2)</f>
        <v>114460.61</v>
      </c>
      <c r="G26" s="9">
        <f t="shared" ref="G26" si="254">ROUND(E26*0,2)</f>
        <v>0</v>
      </c>
      <c r="H26" s="9">
        <f t="shared" ref="H26" si="255">E26-F26-G26</f>
        <v>2747054.6099999989</v>
      </c>
      <c r="I26" s="9">
        <f t="shared" ref="I26" si="256">ROUND(H26*0,2)</f>
        <v>0</v>
      </c>
      <c r="J26" s="9">
        <f t="shared" ref="J26" si="257">ROUND((I26*0.58)+((I26*0.42)*0.1),2)</f>
        <v>0</v>
      </c>
      <c r="K26" s="9">
        <f t="shared" ref="K26" si="258">ROUND((I26*0.42)*0.9,2)</f>
        <v>0</v>
      </c>
      <c r="L26" s="69">
        <f t="shared" ref="L26" si="259">IF(J26+K26=I26,H26-I26,"ERROR")</f>
        <v>2747054.6099999989</v>
      </c>
      <c r="M26" s="9">
        <f t="shared" ref="M26" si="260">ROUND(L26*0.465,2)</f>
        <v>1277380.3899999999</v>
      </c>
      <c r="N26" s="9">
        <f>ROUND(L26*0.3,2)+0.05</f>
        <v>824116.43</v>
      </c>
      <c r="O26" s="9">
        <f>ROUND(L26*0.1285,2)-0.03</f>
        <v>352996.49</v>
      </c>
      <c r="P26" s="9">
        <f t="shared" ref="P26" si="261">ROUND((L26*0.07)*0.9,2)</f>
        <v>173064.44</v>
      </c>
      <c r="Q26" s="9">
        <f>ROUND(L26*0.01,2)-0.01</f>
        <v>27470.54</v>
      </c>
      <c r="R26" s="9">
        <f t="shared" ref="R26" si="262">ROUND((L26*0.0075)*0.9,2)</f>
        <v>18542.62</v>
      </c>
      <c r="S26" s="9">
        <f t="shared" ref="S26" si="263">ROUND((L26*0.0075)*0.9,2)</f>
        <v>18542.62</v>
      </c>
      <c r="T26" s="9">
        <f>ROUND(L26*0.02,2)/2-0.005</f>
        <v>27470.539999999997</v>
      </c>
      <c r="U26" s="9">
        <f>ROUND(L26*0.02,2)/2-0.005</f>
        <v>27470.539999999997</v>
      </c>
      <c r="V26" s="42">
        <f t="shared" ref="V26" si="264">E26/W26</f>
        <v>2349.3556814449908</v>
      </c>
      <c r="W26" s="10">
        <v>1218</v>
      </c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</row>
    <row r="27" spans="1:96" ht="15" customHeight="1" x14ac:dyDescent="0.25">
      <c r="A27" s="8">
        <f>Mountaineer!A27</f>
        <v>44163</v>
      </c>
      <c r="B27" s="9">
        <v>38519087.369999997</v>
      </c>
      <c r="C27" s="9">
        <v>34764875.189999998</v>
      </c>
      <c r="D27" s="9">
        <v>590483</v>
      </c>
      <c r="E27" s="9">
        <f t="shared" ref="E27" si="265">B27-C27-D27</f>
        <v>3163729.1799999997</v>
      </c>
      <c r="F27" s="9">
        <f>ROUND(E27*0.04,2)-0.01</f>
        <v>126549.16</v>
      </c>
      <c r="G27" s="9">
        <f t="shared" ref="G27" si="266">ROUND(E27*0,2)</f>
        <v>0</v>
      </c>
      <c r="H27" s="9">
        <f t="shared" ref="H27" si="267">E27-F27-G27</f>
        <v>3037180.0199999996</v>
      </c>
      <c r="I27" s="9">
        <f t="shared" ref="I27" si="268">ROUND(H27*0,2)</f>
        <v>0</v>
      </c>
      <c r="J27" s="9">
        <f t="shared" ref="J27" si="269">ROUND((I27*0.58)+((I27*0.42)*0.1),2)</f>
        <v>0</v>
      </c>
      <c r="K27" s="9">
        <f t="shared" ref="K27" si="270">ROUND((I27*0.42)*0.9,2)</f>
        <v>0</v>
      </c>
      <c r="L27" s="69">
        <f t="shared" ref="L27" si="271">IF(J27+K27=I27,H27-I27,"ERROR")</f>
        <v>3037180.0199999996</v>
      </c>
      <c r="M27" s="9">
        <f t="shared" ref="M27" si="272">ROUND(L27*0.465,2)</f>
        <v>1412288.71</v>
      </c>
      <c r="N27" s="9">
        <f>ROUND(L27*0.3,2)-0.01</f>
        <v>911154</v>
      </c>
      <c r="O27" s="9">
        <f>ROUND(L27*0.1285,2)</f>
        <v>390277.63</v>
      </c>
      <c r="P27" s="9">
        <f t="shared" ref="P27" si="273">ROUND((L27*0.07)*0.9,2)</f>
        <v>191342.34</v>
      </c>
      <c r="Q27" s="9">
        <f>ROUND(L27*0.01,2)</f>
        <v>30371.8</v>
      </c>
      <c r="R27" s="9">
        <f t="shared" ref="R27" si="274">ROUND((L27*0.0075)*0.9,2)</f>
        <v>20500.97</v>
      </c>
      <c r="S27" s="9">
        <f t="shared" ref="S27" si="275">ROUND((L27*0.0075)*0.9,2)</f>
        <v>20500.97</v>
      </c>
      <c r="T27" s="9">
        <f>ROUND(L27*0.02,2)/2</f>
        <v>30371.8</v>
      </c>
      <c r="U27" s="9">
        <f>ROUND(L27*0.02,2)/2</f>
        <v>30371.8</v>
      </c>
      <c r="V27" s="42">
        <f t="shared" ref="V27" si="276">E27/W27</f>
        <v>2591.0967895167892</v>
      </c>
      <c r="W27" s="10">
        <v>1221</v>
      </c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</row>
    <row r="28" spans="1:96" ht="15" customHeight="1" x14ac:dyDescent="0.25">
      <c r="A28" s="8">
        <f>Mountaineer!A28</f>
        <v>44170</v>
      </c>
      <c r="B28" s="9">
        <v>36584195.909999996</v>
      </c>
      <c r="C28" s="9">
        <v>32898002.739999998</v>
      </c>
      <c r="D28" s="9">
        <v>654559</v>
      </c>
      <c r="E28" s="9">
        <f t="shared" ref="E28" si="277">B28-C28-D28</f>
        <v>3031634.1699999981</v>
      </c>
      <c r="F28" s="9">
        <f>ROUND(E28*0.04,2)</f>
        <v>121265.37</v>
      </c>
      <c r="G28" s="9">
        <f t="shared" ref="G28" si="278">ROUND(E28*0,2)</f>
        <v>0</v>
      </c>
      <c r="H28" s="9">
        <f t="shared" ref="H28" si="279">E28-F28-G28</f>
        <v>2910368.799999998</v>
      </c>
      <c r="I28" s="9">
        <f t="shared" ref="I28" si="280">ROUND(H28*0,2)</f>
        <v>0</v>
      </c>
      <c r="J28" s="9">
        <f t="shared" ref="J28" si="281">ROUND((I28*0.58)+((I28*0.42)*0.1),2)</f>
        <v>0</v>
      </c>
      <c r="K28" s="9">
        <f t="shared" ref="K28" si="282">ROUND((I28*0.42)*0.9,2)</f>
        <v>0</v>
      </c>
      <c r="L28" s="69">
        <f t="shared" ref="L28" si="283">IF(J28+K28=I28,H28-I28,"ERROR")</f>
        <v>2910368.799999998</v>
      </c>
      <c r="M28" s="9">
        <f t="shared" ref="M28" si="284">ROUND(L28*0.465,2)</f>
        <v>1353321.49</v>
      </c>
      <c r="N28" s="9">
        <f>ROUND(L28*0.3,2)+0.03</f>
        <v>873110.67</v>
      </c>
      <c r="O28" s="9">
        <f>ROUND(L28*0.1285,2)</f>
        <v>373982.39</v>
      </c>
      <c r="P28" s="9">
        <f t="shared" ref="P28" si="285">ROUND((L28*0.07)*0.9,2)</f>
        <v>183353.23</v>
      </c>
      <c r="Q28" s="9">
        <f>ROUND(L28*0.01,2)-0.01</f>
        <v>29103.68</v>
      </c>
      <c r="R28" s="9">
        <f t="shared" ref="R28" si="286">ROUND((L28*0.0075)*0.9,2)</f>
        <v>19644.990000000002</v>
      </c>
      <c r="S28" s="9">
        <f t="shared" ref="S28" si="287">ROUND((L28*0.0075)*0.9,2)</f>
        <v>19644.990000000002</v>
      </c>
      <c r="T28" s="9">
        <f>ROUND(L28*0.02,2)/2-0.01</f>
        <v>29103.68</v>
      </c>
      <c r="U28" s="9">
        <f>ROUND(L28*0.02,2)/2-0.01</f>
        <v>29103.68</v>
      </c>
      <c r="V28" s="42">
        <f t="shared" ref="V28" si="288">E28/W28</f>
        <v>2503.4138480594534</v>
      </c>
      <c r="W28" s="10">
        <v>1211</v>
      </c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</row>
    <row r="29" spans="1:96" ht="15" customHeight="1" x14ac:dyDescent="0.25">
      <c r="A29" s="8">
        <f>Mountaineer!A29</f>
        <v>44177</v>
      </c>
      <c r="B29" s="9">
        <v>34019364.989999995</v>
      </c>
      <c r="C29" s="9">
        <v>30507850.069999997</v>
      </c>
      <c r="D29" s="9">
        <v>633496</v>
      </c>
      <c r="E29" s="9">
        <f t="shared" ref="E29" si="289">B29-C29-D29</f>
        <v>2878018.9199999981</v>
      </c>
      <c r="F29" s="9">
        <f>ROUND(E29*0.04,2)</f>
        <v>115120.76</v>
      </c>
      <c r="G29" s="9">
        <f t="shared" ref="G29" si="290">ROUND(E29*0,2)</f>
        <v>0</v>
      </c>
      <c r="H29" s="9">
        <f t="shared" ref="H29" si="291">E29-F29-G29</f>
        <v>2762898.1599999983</v>
      </c>
      <c r="I29" s="9">
        <f t="shared" ref="I29" si="292">ROUND(H29*0,2)</f>
        <v>0</v>
      </c>
      <c r="J29" s="9">
        <f t="shared" ref="J29" si="293">ROUND((I29*0.58)+((I29*0.42)*0.1),2)</f>
        <v>0</v>
      </c>
      <c r="K29" s="9">
        <f t="shared" ref="K29" si="294">ROUND((I29*0.42)*0.9,2)</f>
        <v>0</v>
      </c>
      <c r="L29" s="69">
        <f t="shared" ref="L29" si="295">IF(J29+K29=I29,H29-I29,"ERROR")</f>
        <v>2762898.1599999983</v>
      </c>
      <c r="M29" s="9">
        <f t="shared" ref="M29" si="296">ROUND(L29*0.465,2)</f>
        <v>1284747.6399999999</v>
      </c>
      <c r="N29" s="9">
        <f>ROUND(L29*0.3,2)+0.01</f>
        <v>828869.46</v>
      </c>
      <c r="O29" s="9">
        <f>ROUND(L29*0.1285,2)+0.01</f>
        <v>355032.42</v>
      </c>
      <c r="P29" s="9">
        <f t="shared" ref="P29" si="297">ROUND((L29*0.07)*0.9,2)</f>
        <v>174062.58</v>
      </c>
      <c r="Q29" s="9">
        <f>ROUND(L29*0.01,2)</f>
        <v>27628.98</v>
      </c>
      <c r="R29" s="9">
        <f t="shared" ref="R29" si="298">ROUND((L29*0.0075)*0.9,2)</f>
        <v>18649.560000000001</v>
      </c>
      <c r="S29" s="9">
        <f t="shared" ref="S29" si="299">ROUND((L29*0.0075)*0.9,2)</f>
        <v>18649.560000000001</v>
      </c>
      <c r="T29" s="9">
        <f>ROUND(L29*0.02,2)/2</f>
        <v>27628.98</v>
      </c>
      <c r="U29" s="9">
        <f>ROUND(L29*0.02,2)/2</f>
        <v>27628.98</v>
      </c>
      <c r="V29" s="42">
        <f t="shared" ref="V29" si="300">E29/W29</f>
        <v>2376.5639306358366</v>
      </c>
      <c r="W29" s="10">
        <v>1211</v>
      </c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</row>
    <row r="30" spans="1:96" ht="15" customHeight="1" x14ac:dyDescent="0.25">
      <c r="A30" s="8">
        <f>Mountaineer!A30</f>
        <v>44184</v>
      </c>
      <c r="B30" s="9">
        <v>29731525.850000001</v>
      </c>
      <c r="C30" s="9">
        <v>26704280.190000001</v>
      </c>
      <c r="D30" s="9">
        <v>568708</v>
      </c>
      <c r="E30" s="9">
        <f t="shared" ref="E30" si="301">B30-C30-D30</f>
        <v>2458537.66</v>
      </c>
      <c r="F30" s="9">
        <f>ROUND(E30*0.04,2)</f>
        <v>98341.51</v>
      </c>
      <c r="G30" s="9">
        <f t="shared" ref="G30" si="302">ROUND(E30*0,2)</f>
        <v>0</v>
      </c>
      <c r="H30" s="9">
        <f t="shared" ref="H30" si="303">E30-F30-G30</f>
        <v>2360196.1500000004</v>
      </c>
      <c r="I30" s="9">
        <f t="shared" ref="I30" si="304">ROUND(H30*0,2)</f>
        <v>0</v>
      </c>
      <c r="J30" s="9">
        <f t="shared" ref="J30" si="305">ROUND((I30*0.58)+((I30*0.42)*0.1),2)</f>
        <v>0</v>
      </c>
      <c r="K30" s="9">
        <f t="shared" ref="K30" si="306">ROUND((I30*0.42)*0.9,2)</f>
        <v>0</v>
      </c>
      <c r="L30" s="69">
        <f t="shared" ref="L30" si="307">IF(J30+K30=I30,H30-I30,"ERROR")</f>
        <v>2360196.1500000004</v>
      </c>
      <c r="M30" s="9">
        <f t="shared" ref="M30" si="308">ROUND(L30*0.465,2)</f>
        <v>1097491.21</v>
      </c>
      <c r="N30" s="9">
        <f>ROUND(L30*0.3,2)</f>
        <v>708058.85</v>
      </c>
      <c r="O30" s="9">
        <f>ROUND(L30*0.1285,2)</f>
        <v>303285.21000000002</v>
      </c>
      <c r="P30" s="9">
        <f t="shared" ref="P30" si="309">ROUND((L30*0.07)*0.9,2)</f>
        <v>148692.35999999999</v>
      </c>
      <c r="Q30" s="9">
        <f>ROUND(L30*0.01,2)</f>
        <v>23601.96</v>
      </c>
      <c r="R30" s="9">
        <f t="shared" ref="R30" si="310">ROUND((L30*0.0075)*0.9,2)</f>
        <v>15931.32</v>
      </c>
      <c r="S30" s="9">
        <f t="shared" ref="S30" si="311">ROUND((L30*0.0075)*0.9,2)</f>
        <v>15931.32</v>
      </c>
      <c r="T30" s="9">
        <f>ROUND(L30*0.02,2)/2</f>
        <v>23601.96</v>
      </c>
      <c r="U30" s="9">
        <f>ROUND(L30*0.02,2)/2</f>
        <v>23601.96</v>
      </c>
      <c r="V30" s="42">
        <f t="shared" ref="V30" si="312">E30/W30</f>
        <v>2071.2195956192081</v>
      </c>
      <c r="W30" s="10">
        <v>1187</v>
      </c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</row>
    <row r="31" spans="1:96" ht="15" customHeight="1" x14ac:dyDescent="0.25">
      <c r="A31" s="8">
        <f>Mountaineer!A31</f>
        <v>44191</v>
      </c>
      <c r="B31" s="9">
        <v>39355238.980000004</v>
      </c>
      <c r="C31" s="9">
        <v>35302812.620000005</v>
      </c>
      <c r="D31" s="9">
        <v>700866</v>
      </c>
      <c r="E31" s="9">
        <f t="shared" ref="E31" si="313">B31-C31-D31</f>
        <v>3351560.3599999994</v>
      </c>
      <c r="F31" s="9">
        <f>ROUND(E31*0.04,2)+0.01</f>
        <v>134062.42000000001</v>
      </c>
      <c r="G31" s="9">
        <f t="shared" ref="G31" si="314">ROUND(E31*0,2)</f>
        <v>0</v>
      </c>
      <c r="H31" s="9">
        <f t="shared" ref="H31" si="315">E31-F31-G31</f>
        <v>3217497.9399999995</v>
      </c>
      <c r="I31" s="9">
        <f t="shared" ref="I31" si="316">ROUND(H31*0,2)</f>
        <v>0</v>
      </c>
      <c r="J31" s="9">
        <f t="shared" ref="J31" si="317">ROUND((I31*0.58)+((I31*0.42)*0.1),2)</f>
        <v>0</v>
      </c>
      <c r="K31" s="9">
        <f t="shared" ref="K31" si="318">ROUND((I31*0.42)*0.9,2)</f>
        <v>0</v>
      </c>
      <c r="L31" s="69">
        <f t="shared" ref="L31" si="319">IF(J31+K31=I31,H31-I31,"ERROR")</f>
        <v>3217497.9399999995</v>
      </c>
      <c r="M31" s="9">
        <f t="shared" ref="M31" si="320">ROUND(L31*0.465,2)</f>
        <v>1496136.54</v>
      </c>
      <c r="N31" s="9">
        <f>ROUND(L31*0.3,2)-0.01</f>
        <v>965249.37</v>
      </c>
      <c r="O31" s="9">
        <f>ROUND(L31*0.1285,2)+0.01</f>
        <v>413448.5</v>
      </c>
      <c r="P31" s="9">
        <f t="shared" ref="P31" si="321">ROUND((L31*0.07)*0.9,2)</f>
        <v>202702.37</v>
      </c>
      <c r="Q31" s="9">
        <f>ROUND(L31*0.01,2)</f>
        <v>32174.98</v>
      </c>
      <c r="R31" s="9">
        <f t="shared" ref="R31" si="322">ROUND((L31*0.0075)*0.9,2)</f>
        <v>21718.11</v>
      </c>
      <c r="S31" s="9">
        <f t="shared" ref="S31" si="323">ROUND((L31*0.0075)*0.9,2)</f>
        <v>21718.11</v>
      </c>
      <c r="T31" s="9">
        <f>ROUND(L31*0.02,2)/2</f>
        <v>32174.98</v>
      </c>
      <c r="U31" s="9">
        <f>ROUND(L31*0.02,2)/2</f>
        <v>32174.98</v>
      </c>
      <c r="V31" s="42">
        <f t="shared" ref="V31" si="324">E31/W31</f>
        <v>2727.0629454841328</v>
      </c>
      <c r="W31" s="10">
        <v>1229</v>
      </c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</row>
    <row r="32" spans="1:96" ht="15" customHeight="1" x14ac:dyDescent="0.25">
      <c r="A32" s="8">
        <f>Mountaineer!A32</f>
        <v>44198</v>
      </c>
      <c r="B32" s="9">
        <v>55893663.710000008</v>
      </c>
      <c r="C32" s="9">
        <v>50196825.700000003</v>
      </c>
      <c r="D32" s="9">
        <v>973308</v>
      </c>
      <c r="E32" s="9">
        <f t="shared" ref="E32" si="325">B32-C32-D32</f>
        <v>4723530.0100000054</v>
      </c>
      <c r="F32" s="9">
        <f>ROUND(E32*0.04,2)+0.01</f>
        <v>188941.21000000002</v>
      </c>
      <c r="G32" s="9">
        <f t="shared" ref="G32" si="326">ROUND(E32*0,2)</f>
        <v>0</v>
      </c>
      <c r="H32" s="9">
        <f t="shared" ref="H32" si="327">E32-F32-G32</f>
        <v>4534588.8000000054</v>
      </c>
      <c r="I32" s="9">
        <f t="shared" ref="I32" si="328">ROUND(H32*0,2)</f>
        <v>0</v>
      </c>
      <c r="J32" s="9">
        <f t="shared" ref="J32" si="329">ROUND((I32*0.58)+((I32*0.42)*0.1),2)</f>
        <v>0</v>
      </c>
      <c r="K32" s="9">
        <f t="shared" ref="K32" si="330">ROUND((I32*0.42)*0.9,2)</f>
        <v>0</v>
      </c>
      <c r="L32" s="69">
        <f t="shared" ref="L32" si="331">IF(J32+K32=I32,H32-I32,"ERROR")</f>
        <v>4534588.8000000054</v>
      </c>
      <c r="M32" s="9">
        <f t="shared" ref="M32" si="332">ROUND(L32*0.465,2)</f>
        <v>2108583.79</v>
      </c>
      <c r="N32" s="9">
        <f>ROUND(L32*0.3,2)+0.02</f>
        <v>1360376.66</v>
      </c>
      <c r="O32" s="9">
        <f>ROUND(L32*0.1285,2)+0.02</f>
        <v>582694.68000000005</v>
      </c>
      <c r="P32" s="9">
        <f t="shared" ref="P32" si="333">ROUND((L32*0.07)*0.9,2)</f>
        <v>285679.09000000003</v>
      </c>
      <c r="Q32" s="9">
        <f>ROUND(L32*0.01,2)-0.01</f>
        <v>45345.88</v>
      </c>
      <c r="R32" s="9">
        <f t="shared" ref="R32" si="334">ROUND((L32*0.0075)*0.9,2)</f>
        <v>30608.47</v>
      </c>
      <c r="S32" s="9">
        <f t="shared" ref="S32" si="335">ROUND((L32*0.0075)*0.9,2)</f>
        <v>30608.47</v>
      </c>
      <c r="T32" s="9">
        <f>ROUND(L32*0.02,2)/2-0.01</f>
        <v>45345.88</v>
      </c>
      <c r="U32" s="9">
        <f>ROUND(L32*0.02,2)/2-0.01</f>
        <v>45345.88</v>
      </c>
      <c r="V32" s="42">
        <f t="shared" ref="V32" si="336">E32/W32</f>
        <v>3619.563226053644</v>
      </c>
      <c r="W32" s="10">
        <v>1305</v>
      </c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</row>
    <row r="33" spans="1:96" ht="15" customHeight="1" x14ac:dyDescent="0.25">
      <c r="A33" s="8">
        <f>Mountaineer!A33</f>
        <v>44205</v>
      </c>
      <c r="B33" s="9">
        <v>37934563.68</v>
      </c>
      <c r="C33" s="9">
        <v>34363739.010000005</v>
      </c>
      <c r="D33" s="9">
        <v>576872</v>
      </c>
      <c r="E33" s="9">
        <f t="shared" ref="E33" si="337">B33-C33-D33</f>
        <v>2993952.6699999943</v>
      </c>
      <c r="F33" s="9">
        <f>ROUND(E33*0.04,2)-0.01</f>
        <v>119758.1</v>
      </c>
      <c r="G33" s="9">
        <f t="shared" ref="G33" si="338">ROUND(E33*0,2)</f>
        <v>0</v>
      </c>
      <c r="H33" s="9">
        <f t="shared" ref="H33" si="339">E33-F33-G33</f>
        <v>2874194.5699999942</v>
      </c>
      <c r="I33" s="9">
        <f t="shared" ref="I33" si="340">ROUND(H33*0,2)</f>
        <v>0</v>
      </c>
      <c r="J33" s="9">
        <f t="shared" ref="J33" si="341">ROUND((I33*0.58)+((I33*0.42)*0.1),2)</f>
        <v>0</v>
      </c>
      <c r="K33" s="9">
        <f t="shared" ref="K33" si="342">ROUND((I33*0.42)*0.9,2)</f>
        <v>0</v>
      </c>
      <c r="L33" s="69">
        <f t="shared" ref="L33" si="343">IF(J33+K33=I33,H33-I33,"ERROR")</f>
        <v>2874194.5699999942</v>
      </c>
      <c r="M33" s="9">
        <f t="shared" ref="M33" si="344">ROUND(L33*0.465,2)</f>
        <v>1336500.48</v>
      </c>
      <c r="N33" s="9">
        <f>ROUND(L33*0.3,2)+0.02</f>
        <v>862258.39</v>
      </c>
      <c r="O33" s="9">
        <f>ROUND(L33*0.1285,2)</f>
        <v>369334</v>
      </c>
      <c r="P33" s="9">
        <f t="shared" ref="P33" si="345">ROUND((L33*0.07)*0.9,2)</f>
        <v>181074.26</v>
      </c>
      <c r="Q33" s="9">
        <f>ROUND(L33*0.01,2)-0.01</f>
        <v>28741.940000000002</v>
      </c>
      <c r="R33" s="9">
        <f t="shared" ref="R33" si="346">ROUND((L33*0.0075)*0.9,2)</f>
        <v>19400.810000000001</v>
      </c>
      <c r="S33" s="9">
        <f t="shared" ref="S33" si="347">ROUND((L33*0.0075)*0.9,2)</f>
        <v>19400.810000000001</v>
      </c>
      <c r="T33" s="9">
        <f>ROUND(L33*0.02,2)/2-0.005</f>
        <v>28741.94</v>
      </c>
      <c r="U33" s="9">
        <f>ROUND(L33*0.02,2)/2-0.005</f>
        <v>28741.94</v>
      </c>
      <c r="V33" s="42">
        <f t="shared" ref="V33" si="348">E33/W33</f>
        <v>2229.3020625465333</v>
      </c>
      <c r="W33" s="10">
        <v>1343</v>
      </c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</row>
    <row r="34" spans="1:96" ht="15" customHeight="1" x14ac:dyDescent="0.25">
      <c r="A34" s="8">
        <f>Mountaineer!A34</f>
        <v>44212</v>
      </c>
      <c r="B34" s="9">
        <v>39228887.75</v>
      </c>
      <c r="C34" s="9">
        <v>35450614.039999999</v>
      </c>
      <c r="D34" s="9">
        <v>619928</v>
      </c>
      <c r="E34" s="9">
        <f t="shared" ref="E34" si="349">B34-C34-D34</f>
        <v>3158345.7100000009</v>
      </c>
      <c r="F34" s="9">
        <f>ROUND(E34*0.04,2)-0.01</f>
        <v>126333.82</v>
      </c>
      <c r="G34" s="9">
        <f t="shared" ref="G34" si="350">ROUND(E34*0,2)</f>
        <v>0</v>
      </c>
      <c r="H34" s="9">
        <f t="shared" ref="H34" si="351">E34-F34-G34</f>
        <v>3032011.8900000011</v>
      </c>
      <c r="I34" s="9">
        <f t="shared" ref="I34" si="352">ROUND(H34*0,2)</f>
        <v>0</v>
      </c>
      <c r="J34" s="9">
        <f t="shared" ref="J34" si="353">ROUND((I34*0.58)+((I34*0.42)*0.1),2)</f>
        <v>0</v>
      </c>
      <c r="K34" s="9">
        <f t="shared" ref="K34" si="354">ROUND((I34*0.42)*0.9,2)</f>
        <v>0</v>
      </c>
      <c r="L34" s="69">
        <f t="shared" ref="L34" si="355">IF(J34+K34=I34,H34-I34,"ERROR")</f>
        <v>3032011.8900000011</v>
      </c>
      <c r="M34" s="9">
        <f t="shared" ref="M34" si="356">ROUND(L34*0.465,2)</f>
        <v>1409885.53</v>
      </c>
      <c r="N34" s="9">
        <f>ROUND(L34*0.3,2)</f>
        <v>909603.57</v>
      </c>
      <c r="O34" s="9">
        <f>ROUND(L34*0.1285,2)-0.01</f>
        <v>389613.52</v>
      </c>
      <c r="P34" s="9">
        <f t="shared" ref="P34" si="357">ROUND((L34*0.07)*0.9,2)</f>
        <v>191016.75</v>
      </c>
      <c r="Q34" s="9">
        <f>ROUND(L34*0.01,2)</f>
        <v>30320.12</v>
      </c>
      <c r="R34" s="9">
        <f t="shared" ref="R34" si="358">ROUND((L34*0.0075)*0.9,2)</f>
        <v>20466.080000000002</v>
      </c>
      <c r="S34" s="9">
        <f t="shared" ref="S34" si="359">ROUND((L34*0.0075)*0.9,2)</f>
        <v>20466.080000000002</v>
      </c>
      <c r="T34" s="9">
        <f>ROUND(L34*0.02,2)/2</f>
        <v>30320.12</v>
      </c>
      <c r="U34" s="9">
        <f>ROUND(L34*0.02,2)/2</f>
        <v>30320.12</v>
      </c>
      <c r="V34" s="42">
        <f t="shared" ref="V34" si="360">E34/W34</f>
        <v>2341.2495997034848</v>
      </c>
      <c r="W34" s="10">
        <v>1349</v>
      </c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</row>
    <row r="35" spans="1:96" ht="15" customHeight="1" x14ac:dyDescent="0.25">
      <c r="A35" s="8">
        <f>Mountaineer!A35</f>
        <v>44219</v>
      </c>
      <c r="B35" s="9">
        <v>44148821.729999997</v>
      </c>
      <c r="C35" s="9">
        <v>39856240.289999999</v>
      </c>
      <c r="D35" s="9">
        <v>757874</v>
      </c>
      <c r="E35" s="9">
        <f t="shared" ref="E35" si="361">B35-C35-D35</f>
        <v>3534707.4399999976</v>
      </c>
      <c r="F35" s="9">
        <f>ROUND(E35*0.04,2)</f>
        <v>141388.29999999999</v>
      </c>
      <c r="G35" s="9">
        <f t="shared" ref="G35" si="362">ROUND(E35*0,2)</f>
        <v>0</v>
      </c>
      <c r="H35" s="9">
        <f t="shared" ref="H35" si="363">E35-F35-G35</f>
        <v>3393319.1399999978</v>
      </c>
      <c r="I35" s="9">
        <f t="shared" ref="I35" si="364">ROUND(H35*0,2)</f>
        <v>0</v>
      </c>
      <c r="J35" s="9">
        <f t="shared" ref="J35" si="365">ROUND((I35*0.58)+((I35*0.42)*0.1),2)</f>
        <v>0</v>
      </c>
      <c r="K35" s="9">
        <f t="shared" ref="K35" si="366">ROUND((I35*0.42)*0.9,2)</f>
        <v>0</v>
      </c>
      <c r="L35" s="69">
        <f t="shared" ref="L35" si="367">IF(J35+K35=I35,H35-I35,"ERROR")</f>
        <v>3393319.1399999978</v>
      </c>
      <c r="M35" s="9">
        <f t="shared" ref="M35" si="368">ROUND(L35*0.465,2)</f>
        <v>1577893.4</v>
      </c>
      <c r="N35" s="9">
        <f>ROUND(L35*0.3,2)-0.04</f>
        <v>1017995.7</v>
      </c>
      <c r="O35" s="9">
        <f>ROUND(L35*0.1285,2)+0.02</f>
        <v>436041.53</v>
      </c>
      <c r="P35" s="9">
        <f t="shared" ref="P35" si="369">ROUND((L35*0.07)*0.9,2)</f>
        <v>213779.11</v>
      </c>
      <c r="Q35" s="9">
        <f>ROUND(L35*0.01,2)+0.01</f>
        <v>33933.200000000004</v>
      </c>
      <c r="R35" s="9">
        <f t="shared" ref="R35" si="370">ROUND((L35*0.0075)*0.9,2)</f>
        <v>22904.9</v>
      </c>
      <c r="S35" s="9">
        <f t="shared" ref="S35" si="371">ROUND((L35*0.0075)*0.9,2)</f>
        <v>22904.9</v>
      </c>
      <c r="T35" s="9">
        <f>ROUND(L35*0.02,2)/2+0.01</f>
        <v>33933.200000000004</v>
      </c>
      <c r="U35" s="9">
        <f>ROUND(L35*0.02,2)/2+0.01</f>
        <v>33933.200000000004</v>
      </c>
      <c r="V35" s="42">
        <f t="shared" ref="V35" si="372">E35/W35</f>
        <v>2624.1332145508518</v>
      </c>
      <c r="W35" s="10">
        <v>1347</v>
      </c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</row>
    <row r="36" spans="1:96" ht="15" customHeight="1" x14ac:dyDescent="0.25">
      <c r="A36" s="8">
        <f>Mountaineer!A36</f>
        <v>44226</v>
      </c>
      <c r="B36" s="9">
        <v>40642922.789999999</v>
      </c>
      <c r="C36" s="9">
        <v>36594596.149999999</v>
      </c>
      <c r="D36" s="9">
        <v>679302</v>
      </c>
      <c r="E36" s="9">
        <f t="shared" ref="E36" si="373">B36-C36-D36</f>
        <v>3369024.6400000006</v>
      </c>
      <c r="F36" s="9">
        <f>ROUND(E36*0.04,2)-0.01</f>
        <v>134760.97999999998</v>
      </c>
      <c r="G36" s="9">
        <f t="shared" ref="G36" si="374">ROUND(E36*0,2)</f>
        <v>0</v>
      </c>
      <c r="H36" s="9">
        <f t="shared" ref="H36" si="375">E36-F36-G36</f>
        <v>3234263.6600000006</v>
      </c>
      <c r="I36" s="9">
        <f t="shared" ref="I36" si="376">ROUND(H36*0,2)</f>
        <v>0</v>
      </c>
      <c r="J36" s="9">
        <f t="shared" ref="J36" si="377">ROUND((I36*0.58)+((I36*0.42)*0.1),2)</f>
        <v>0</v>
      </c>
      <c r="K36" s="9">
        <f t="shared" ref="K36" si="378">ROUND((I36*0.42)*0.9,2)</f>
        <v>0</v>
      </c>
      <c r="L36" s="69">
        <f t="shared" ref="L36" si="379">IF(J36+K36=I36,H36-I36,"ERROR")</f>
        <v>3234263.6600000006</v>
      </c>
      <c r="M36" s="9">
        <f t="shared" ref="M36" si="380">ROUND(L36*0.465,2)</f>
        <v>1503932.6</v>
      </c>
      <c r="N36" s="9">
        <f>ROUND(L36*0.3,2)-0.03</f>
        <v>970279.07</v>
      </c>
      <c r="O36" s="9">
        <f>ROUND(L36*0.1285,2)+0.02</f>
        <v>415602.9</v>
      </c>
      <c r="P36" s="9">
        <f t="shared" ref="P36" si="381">ROUND((L36*0.07)*0.9,2)</f>
        <v>203758.61</v>
      </c>
      <c r="Q36" s="9">
        <f>ROUND(L36*0.01,2)</f>
        <v>32342.639999999999</v>
      </c>
      <c r="R36" s="9">
        <f t="shared" ref="R36" si="382">ROUND((L36*0.0075)*0.9,2)</f>
        <v>21831.279999999999</v>
      </c>
      <c r="S36" s="9">
        <f t="shared" ref="S36" si="383">ROUND((L36*0.0075)*0.9,2)</f>
        <v>21831.279999999999</v>
      </c>
      <c r="T36" s="9">
        <f t="shared" ref="T36:T37" si="384">ROUND(L36*0.02,2)/2+0.005</f>
        <v>32342.639999999999</v>
      </c>
      <c r="U36" s="9">
        <f>ROUND(L36*0.02,2)/2+0.005</f>
        <v>32342.639999999999</v>
      </c>
      <c r="V36" s="42">
        <f t="shared" ref="V36" si="385">E36/W36</f>
        <v>2517.9556352765326</v>
      </c>
      <c r="W36" s="10">
        <v>1338</v>
      </c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</row>
    <row r="37" spans="1:96" ht="15" customHeight="1" x14ac:dyDescent="0.25">
      <c r="A37" s="8">
        <f>Mountaineer!A37</f>
        <v>44233</v>
      </c>
      <c r="B37" s="9">
        <v>39223591.049999997</v>
      </c>
      <c r="C37" s="9">
        <v>35373623.359999999</v>
      </c>
      <c r="D37" s="9">
        <v>722810</v>
      </c>
      <c r="E37" s="9">
        <f t="shared" ref="E37" si="386">B37-C37-D37</f>
        <v>3127157.6899999976</v>
      </c>
      <c r="F37" s="9">
        <f>ROUND(E37*0.04,2)+0.01</f>
        <v>125086.31999999999</v>
      </c>
      <c r="G37" s="9">
        <f t="shared" ref="G37" si="387">ROUND(E37*0,2)</f>
        <v>0</v>
      </c>
      <c r="H37" s="9">
        <f t="shared" ref="H37" si="388">E37-F37-G37</f>
        <v>3002071.3699999978</v>
      </c>
      <c r="I37" s="9">
        <f t="shared" ref="I37" si="389">ROUND(H37*0,2)</f>
        <v>0</v>
      </c>
      <c r="J37" s="9">
        <f t="shared" ref="J37" si="390">ROUND((I37*0.58)+((I37*0.42)*0.1),2)</f>
        <v>0</v>
      </c>
      <c r="K37" s="9">
        <f t="shared" ref="K37" si="391">ROUND((I37*0.42)*0.9,2)</f>
        <v>0</v>
      </c>
      <c r="L37" s="69">
        <f t="shared" ref="L37" si="392">IF(J37+K37=I37,H37-I37,"ERROR")</f>
        <v>3002071.3699999978</v>
      </c>
      <c r="M37" s="9">
        <f t="shared" ref="M37" si="393">ROUND(L37*0.465,2)</f>
        <v>1395963.19</v>
      </c>
      <c r="N37" s="9">
        <f>ROUND(L37*0.3,2)-0.05</f>
        <v>900621.36</v>
      </c>
      <c r="O37" s="9">
        <f>ROUND(L37*0.1285,2)+0.03</f>
        <v>385766.2</v>
      </c>
      <c r="P37" s="9">
        <f t="shared" ref="P37" si="394">ROUND((L37*0.07)*0.9,2)</f>
        <v>189130.5</v>
      </c>
      <c r="Q37" s="9">
        <f>ROUND(L37*0.01,2)+0.01</f>
        <v>30020.719999999998</v>
      </c>
      <c r="R37" s="9">
        <f t="shared" ref="R37" si="395">ROUND((L37*0.0075)*0.9,2)</f>
        <v>20263.98</v>
      </c>
      <c r="S37" s="9">
        <f t="shared" ref="S37" si="396">ROUND((L37*0.0075)*0.9,2)</f>
        <v>20263.98</v>
      </c>
      <c r="T37" s="9">
        <f t="shared" si="384"/>
        <v>30020.720000000001</v>
      </c>
      <c r="U37" s="9">
        <f>ROUND(L37*0.02,2)/2+0.005</f>
        <v>30020.720000000001</v>
      </c>
      <c r="V37" s="42">
        <f t="shared" ref="V37" si="397">E37/W37</f>
        <v>2330.2218256333813</v>
      </c>
      <c r="W37" s="10">
        <v>1342</v>
      </c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</row>
    <row r="38" spans="1:96" ht="15" customHeight="1" x14ac:dyDescent="0.25">
      <c r="A38" s="8">
        <f>Mountaineer!A38</f>
        <v>44240</v>
      </c>
      <c r="B38" s="9">
        <v>34060159.780000001</v>
      </c>
      <c r="C38" s="9">
        <v>30643288.32</v>
      </c>
      <c r="D38" s="9">
        <v>563068</v>
      </c>
      <c r="E38" s="9">
        <f t="shared" ref="E38" si="398">B38-C38-D38</f>
        <v>2853803.4600000009</v>
      </c>
      <c r="F38" s="9">
        <f>ROUND(E38*0.04,2)</f>
        <v>114152.14</v>
      </c>
      <c r="G38" s="9">
        <f t="shared" ref="G38" si="399">ROUND(E38*0,2)</f>
        <v>0</v>
      </c>
      <c r="H38" s="9">
        <f t="shared" ref="H38" si="400">E38-F38-G38</f>
        <v>2739651.3200000008</v>
      </c>
      <c r="I38" s="9">
        <f t="shared" ref="I38" si="401">ROUND(H38*0,2)</f>
        <v>0</v>
      </c>
      <c r="J38" s="9">
        <f t="shared" ref="J38" si="402">ROUND((I38*0.58)+((I38*0.42)*0.1),2)</f>
        <v>0</v>
      </c>
      <c r="K38" s="9">
        <f t="shared" ref="K38" si="403">ROUND((I38*0.42)*0.9,2)</f>
        <v>0</v>
      </c>
      <c r="L38" s="69">
        <f t="shared" ref="L38" si="404">IF(J38+K38=I38,H38-I38,"ERROR")</f>
        <v>2739651.3200000008</v>
      </c>
      <c r="M38" s="9">
        <f t="shared" ref="M38" si="405">ROUND(L38*0.465,2)</f>
        <v>1273937.8600000001</v>
      </c>
      <c r="N38" s="9">
        <f>ROUND(L38*0.3,2)-0.02</f>
        <v>821895.38</v>
      </c>
      <c r="O38" s="9">
        <f>ROUND(L38*0.1285,2)</f>
        <v>352045.19</v>
      </c>
      <c r="P38" s="9">
        <f t="shared" ref="P38" si="406">ROUND((L38*0.07)*0.9,2)</f>
        <v>172598.03</v>
      </c>
      <c r="Q38" s="9">
        <f>ROUND(L38*0.01,2)+0.01</f>
        <v>27396.519999999997</v>
      </c>
      <c r="R38" s="9">
        <f t="shared" ref="R38" si="407">ROUND((L38*0.0075)*0.9,2)</f>
        <v>18492.650000000001</v>
      </c>
      <c r="S38" s="9">
        <f t="shared" ref="S38" si="408">ROUND((L38*0.0075)*0.9,2)</f>
        <v>18492.650000000001</v>
      </c>
      <c r="T38" s="9">
        <f>ROUND(L38*0.02,2)/2+0.005</f>
        <v>27396.52</v>
      </c>
      <c r="U38" s="9">
        <f>ROUND(L38*0.02,2)/2+0.005</f>
        <v>27396.52</v>
      </c>
      <c r="V38" s="42">
        <f t="shared" ref="V38" si="409">E38/W38</f>
        <v>2126.5301490312972</v>
      </c>
      <c r="W38" s="10">
        <v>1342</v>
      </c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</row>
    <row r="39" spans="1:96" ht="15" customHeight="1" x14ac:dyDescent="0.25">
      <c r="A39" s="8">
        <f>Mountaineer!A39</f>
        <v>44247</v>
      </c>
      <c r="B39" s="9">
        <v>41079236.090000004</v>
      </c>
      <c r="C39" s="9">
        <v>36724172.410000004</v>
      </c>
      <c r="D39" s="9">
        <v>704862</v>
      </c>
      <c r="E39" s="9">
        <f t="shared" ref="E39" si="410">B39-C39-D39</f>
        <v>3650201.6799999997</v>
      </c>
      <c r="F39" s="9">
        <f>ROUND(E39*0.04,2)-0.01</f>
        <v>146008.06</v>
      </c>
      <c r="G39" s="9">
        <f t="shared" ref="G39" si="411">ROUND(E39*0,2)</f>
        <v>0</v>
      </c>
      <c r="H39" s="9">
        <f t="shared" ref="H39" si="412">E39-F39-G39</f>
        <v>3504193.6199999996</v>
      </c>
      <c r="I39" s="9">
        <f t="shared" ref="I39" si="413">ROUND(H39*0,2)</f>
        <v>0</v>
      </c>
      <c r="J39" s="9">
        <f t="shared" ref="J39" si="414">ROUND((I39*0.58)+((I39*0.42)*0.1),2)</f>
        <v>0</v>
      </c>
      <c r="K39" s="9">
        <f t="shared" ref="K39" si="415">ROUND((I39*0.42)*0.9,2)</f>
        <v>0</v>
      </c>
      <c r="L39" s="69">
        <f t="shared" ref="L39" si="416">IF(J39+K39=I39,H39-I39,"ERROR")</f>
        <v>3504193.6199999996</v>
      </c>
      <c r="M39" s="9">
        <f t="shared" ref="M39" si="417">ROUND(L39*0.465,2)</f>
        <v>1629450.03</v>
      </c>
      <c r="N39" s="9">
        <f>ROUND(L39*0.3,2)-0.01</f>
        <v>1051258.08</v>
      </c>
      <c r="O39" s="9">
        <f>ROUND(L39*0.1285,2)-0.01</f>
        <v>450288.87</v>
      </c>
      <c r="P39" s="9">
        <f t="shared" ref="P39" si="418">ROUND((L39*0.07)*0.9,2)</f>
        <v>220764.2</v>
      </c>
      <c r="Q39" s="9">
        <f>ROUND(L39*0.01,2)</f>
        <v>35041.94</v>
      </c>
      <c r="R39" s="9">
        <f t="shared" ref="R39" si="419">ROUND((L39*0.0075)*0.9,2)</f>
        <v>23653.31</v>
      </c>
      <c r="S39" s="9">
        <f t="shared" ref="S39" si="420">ROUND((L39*0.0075)*0.9,2)</f>
        <v>23653.31</v>
      </c>
      <c r="T39" s="9">
        <f>ROUND(L39*0.02,2)/2</f>
        <v>35041.934999999998</v>
      </c>
      <c r="U39" s="9">
        <f>ROUND(L39*0.02,2)/2</f>
        <v>35041.934999999998</v>
      </c>
      <c r="V39" s="42">
        <f t="shared" ref="V39" si="421">E39/W39</f>
        <v>2715.9238690476186</v>
      </c>
      <c r="W39" s="10">
        <v>1344</v>
      </c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</row>
    <row r="40" spans="1:96" ht="15" customHeight="1" x14ac:dyDescent="0.25">
      <c r="A40" s="8">
        <f>Mountaineer!A40</f>
        <v>44254</v>
      </c>
      <c r="B40" s="9">
        <v>47973652.829999991</v>
      </c>
      <c r="C40" s="9">
        <v>42874611.629999995</v>
      </c>
      <c r="D40" s="9">
        <v>843720</v>
      </c>
      <c r="E40" s="9">
        <f t="shared" ref="E40" si="422">B40-C40-D40</f>
        <v>4255321.1999999955</v>
      </c>
      <c r="F40" s="9">
        <f>ROUND(E40*0.04,2)</f>
        <v>170212.85</v>
      </c>
      <c r="G40" s="9">
        <f t="shared" ref="G40" si="423">ROUND(E40*0,2)</f>
        <v>0</v>
      </c>
      <c r="H40" s="9">
        <f t="shared" ref="H40" si="424">E40-F40-G40</f>
        <v>4085108.3499999954</v>
      </c>
      <c r="I40" s="9">
        <f t="shared" ref="I40" si="425">ROUND(H40*0,2)</f>
        <v>0</v>
      </c>
      <c r="J40" s="9">
        <f t="shared" ref="J40" si="426">ROUND((I40*0.58)+((I40*0.42)*0.1),2)</f>
        <v>0</v>
      </c>
      <c r="K40" s="9">
        <f t="shared" ref="K40" si="427">ROUND((I40*0.42)*0.9,2)</f>
        <v>0</v>
      </c>
      <c r="L40" s="69">
        <f t="shared" ref="L40" si="428">IF(J40+K40=I40,H40-I40,"ERROR")</f>
        <v>4085108.3499999954</v>
      </c>
      <c r="M40" s="9">
        <f t="shared" ref="M40" si="429">ROUND(L40*0.465,2)</f>
        <v>1899575.38</v>
      </c>
      <c r="N40" s="9">
        <f>ROUND(L40*0.3,2)+0.03</f>
        <v>1225532.54</v>
      </c>
      <c r="O40" s="9">
        <f>ROUND(L40*0.1285,2)-0.02</f>
        <v>524936.4</v>
      </c>
      <c r="P40" s="9">
        <f t="shared" ref="P40" si="430">ROUND((L40*0.07)*0.9,2)</f>
        <v>257361.83</v>
      </c>
      <c r="Q40" s="9">
        <f>ROUND(L40*0.01,2)</f>
        <v>40851.08</v>
      </c>
      <c r="R40" s="9">
        <f t="shared" ref="R40" si="431">ROUND((L40*0.0075)*0.9,2)</f>
        <v>27574.48</v>
      </c>
      <c r="S40" s="9">
        <f t="shared" ref="S40" si="432">ROUND((L40*0.0075)*0.9,2)</f>
        <v>27574.48</v>
      </c>
      <c r="T40" s="9">
        <f>ROUND(L40*0.02,2)/2-0.005</f>
        <v>40851.08</v>
      </c>
      <c r="U40" s="9">
        <f>ROUND(L40*0.02,2)/2-0.005</f>
        <v>40851.08</v>
      </c>
      <c r="V40" s="42">
        <f t="shared" ref="V40" si="433">E40/W40</f>
        <v>3142.7778434268798</v>
      </c>
      <c r="W40" s="10">
        <v>1354</v>
      </c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</row>
    <row r="41" spans="1:96" ht="15" customHeight="1" x14ac:dyDescent="0.25">
      <c r="A41" s="8">
        <f>Mountaineer!A41</f>
        <v>44261</v>
      </c>
      <c r="B41" s="9">
        <v>46396944.370000005</v>
      </c>
      <c r="C41" s="9">
        <v>41869319.980000004</v>
      </c>
      <c r="D41" s="9">
        <v>783010</v>
      </c>
      <c r="E41" s="9">
        <f t="shared" ref="E41" si="434">B41-C41-D41</f>
        <v>3744614.3900000006</v>
      </c>
      <c r="F41" s="9">
        <v>123335.99</v>
      </c>
      <c r="G41" s="9">
        <v>26448.59</v>
      </c>
      <c r="H41" s="9">
        <f t="shared" ref="H41" si="435">E41-F41-G41</f>
        <v>3594829.8100000005</v>
      </c>
      <c r="I41" s="9">
        <f t="shared" ref="I41" si="436">ROUND(H41*0,2)</f>
        <v>0</v>
      </c>
      <c r="J41" s="9">
        <f t="shared" ref="J41" si="437">ROUND((I41*0.58)+((I41*0.42)*0.1),2)</f>
        <v>0</v>
      </c>
      <c r="K41" s="9">
        <f t="shared" ref="K41" si="438">ROUND((I41*0.42)*0.9,2)</f>
        <v>0</v>
      </c>
      <c r="L41" s="69">
        <f t="shared" ref="L41" si="439">IF(J41+K41=I41,H41-I41,"ERROR")</f>
        <v>3594829.8100000005</v>
      </c>
      <c r="M41" s="9">
        <f t="shared" ref="M41" si="440">ROUND(L41*0.465,2)</f>
        <v>1671595.86</v>
      </c>
      <c r="N41" s="9">
        <f>ROUND(L41*0.3,2)</f>
        <v>1078448.94</v>
      </c>
      <c r="O41" s="9">
        <f>ROUND(L41*0.1285,2)</f>
        <v>461935.63</v>
      </c>
      <c r="P41" s="9">
        <f t="shared" ref="P41" si="441">ROUND((L41*0.07)*0.9,2)</f>
        <v>226474.28</v>
      </c>
      <c r="Q41" s="9">
        <f>ROUND(L41*0.01,2)</f>
        <v>35948.300000000003</v>
      </c>
      <c r="R41" s="9">
        <f t="shared" ref="R41" si="442">ROUND((L41*0.0075)*0.9,2)</f>
        <v>24265.1</v>
      </c>
      <c r="S41" s="9">
        <f t="shared" ref="S41" si="443">ROUND((L41*0.0075)*0.9,2)</f>
        <v>24265.1</v>
      </c>
      <c r="T41" s="9">
        <f>ROUND(L41*0.02,2)/2</f>
        <v>35948.300000000003</v>
      </c>
      <c r="U41" s="9">
        <f>ROUND(L41*0.02,2)/2</f>
        <v>35948.300000000003</v>
      </c>
      <c r="V41" s="42">
        <f t="shared" ref="V41" si="444">E41/W41</f>
        <v>2847.6155057034225</v>
      </c>
      <c r="W41" s="10">
        <v>1315</v>
      </c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</row>
    <row r="42" spans="1:96" ht="15" customHeight="1" x14ac:dyDescent="0.25">
      <c r="A42" s="8">
        <f>Mountaineer!A42</f>
        <v>44268</v>
      </c>
      <c r="B42" s="9">
        <v>47638289.140000001</v>
      </c>
      <c r="C42" s="9">
        <v>42652894.509999998</v>
      </c>
      <c r="D42" s="9">
        <v>794955</v>
      </c>
      <c r="E42" s="9">
        <f t="shared" ref="E42" si="445">B42-C42-D42</f>
        <v>4190439.6300000027</v>
      </c>
      <c r="F42" s="9">
        <v>0</v>
      </c>
      <c r="G42" s="9">
        <v>167617.57999999999</v>
      </c>
      <c r="H42" s="9">
        <f t="shared" ref="H42" si="446">E42-F42-G42</f>
        <v>4022822.0500000026</v>
      </c>
      <c r="I42" s="9">
        <v>64664.52</v>
      </c>
      <c r="J42" s="9">
        <f t="shared" ref="J42" si="447">ROUND((I42*0.58)+((I42*0.42)*0.1),2)</f>
        <v>40221.33</v>
      </c>
      <c r="K42" s="9">
        <f t="shared" ref="K42" si="448">ROUND((I42*0.42)*0.9,2)</f>
        <v>24443.19</v>
      </c>
      <c r="L42" s="69">
        <f t="shared" ref="L42" si="449">IF(J42+K42=I42,H42-I42,"ERROR")</f>
        <v>3958157.5300000026</v>
      </c>
      <c r="M42" s="9">
        <v>1814354.12</v>
      </c>
      <c r="N42" s="9">
        <v>1012853.1</v>
      </c>
      <c r="O42" s="9">
        <f>238612.01+489417.9</f>
        <v>728029.91</v>
      </c>
      <c r="P42" s="9">
        <v>233650.45</v>
      </c>
      <c r="Q42" s="9">
        <v>36671.67</v>
      </c>
      <c r="R42" s="9">
        <v>26717.56</v>
      </c>
      <c r="S42" s="9">
        <v>26717.56</v>
      </c>
      <c r="T42" s="9">
        <f>ROUND(L42*0.02,2)/2+0.005</f>
        <v>39581.579999999994</v>
      </c>
      <c r="U42" s="9">
        <f>ROUND(L42*0.02,2)/2+0.005</f>
        <v>39581.579999999994</v>
      </c>
      <c r="V42" s="42">
        <f t="shared" ref="V42" si="450">E42/W42</f>
        <v>3328.387315329629</v>
      </c>
      <c r="W42" s="10">
        <v>1259</v>
      </c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</row>
    <row r="43" spans="1:96" ht="15" customHeight="1" x14ac:dyDescent="0.25">
      <c r="A43" s="8">
        <f>Mountaineer!A43</f>
        <v>44275</v>
      </c>
      <c r="B43" s="9">
        <v>56816413.32</v>
      </c>
      <c r="C43" s="9">
        <v>51260643.010000005</v>
      </c>
      <c r="D43" s="9">
        <v>829969</v>
      </c>
      <c r="E43" s="9">
        <f t="shared" ref="E43" si="451">B43-C43-D43</f>
        <v>4725801.3099999949</v>
      </c>
      <c r="F43" s="9">
        <v>0</v>
      </c>
      <c r="G43" s="9">
        <v>189032.03999999998</v>
      </c>
      <c r="H43" s="9">
        <f t="shared" ref="H43" si="452">E43-F43-G43</f>
        <v>4536769.2699999949</v>
      </c>
      <c r="I43" s="9">
        <v>453676.94</v>
      </c>
      <c r="J43" s="9">
        <f t="shared" ref="J43" si="453">ROUND((I43*0.58)+((I43*0.42)*0.1),2)</f>
        <v>282187.06</v>
      </c>
      <c r="K43" s="9">
        <f t="shared" ref="K43" si="454">ROUND((I43*0.42)*0.9,2)</f>
        <v>171489.88</v>
      </c>
      <c r="L43" s="69">
        <f t="shared" ref="L43" si="455">IF(J43+K43=I43,H43-I43,"ERROR")</f>
        <v>4083092.329999995</v>
      </c>
      <c r="M43" s="9">
        <v>1714898.78</v>
      </c>
      <c r="N43" s="9">
        <v>0</v>
      </c>
      <c r="O43" s="9">
        <f>1674067.88+389935.31</f>
        <v>2064003.19</v>
      </c>
      <c r="P43" s="9">
        <v>146991.32</v>
      </c>
      <c r="Q43" s="9">
        <v>20415.46</v>
      </c>
      <c r="R43" s="9">
        <v>27560.87</v>
      </c>
      <c r="S43" s="9">
        <v>27560.87</v>
      </c>
      <c r="T43" s="9">
        <f>ROUND(L43*0.02,2)/2-0.005</f>
        <v>40830.920000000006</v>
      </c>
      <c r="U43" s="9">
        <f>ROUND(L43*0.02,2)/2-0.005</f>
        <v>40830.920000000006</v>
      </c>
      <c r="V43" s="42">
        <f t="shared" ref="V43" si="456">E43/W43</f>
        <v>3680.5306152647936</v>
      </c>
      <c r="W43" s="10">
        <v>1284</v>
      </c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</row>
    <row r="44" spans="1:96" ht="15" customHeight="1" x14ac:dyDescent="0.25">
      <c r="A44" s="8">
        <f>Mountaineer!A44</f>
        <v>44282</v>
      </c>
      <c r="B44" s="9">
        <v>58915952.980000004</v>
      </c>
      <c r="C44" s="9">
        <v>52953588.189999998</v>
      </c>
      <c r="D44" s="9">
        <v>898520</v>
      </c>
      <c r="E44" s="9">
        <f t="shared" ref="E44" si="457">B44-C44-D44</f>
        <v>5063844.7900000066</v>
      </c>
      <c r="F44" s="9">
        <v>0</v>
      </c>
      <c r="G44" s="9">
        <v>202553.79</v>
      </c>
      <c r="H44" s="9">
        <f t="shared" ref="H44" si="458">E44-F44-G44</f>
        <v>4861291.0000000065</v>
      </c>
      <c r="I44" s="9">
        <v>486129.1</v>
      </c>
      <c r="J44" s="9">
        <f t="shared" ref="J44" si="459">ROUND((I44*0.58)+((I44*0.42)*0.1),2)</f>
        <v>302372.3</v>
      </c>
      <c r="K44" s="9">
        <f t="shared" ref="K44" si="460">ROUND((I44*0.42)*0.9,2)</f>
        <v>183756.79999999999</v>
      </c>
      <c r="L44" s="69">
        <f t="shared" ref="L44" si="461">IF(J44+K44=I44,H44-I44,"ERROR")</f>
        <v>4375161.9000000069</v>
      </c>
      <c r="M44" s="9">
        <f t="shared" ref="M44:M49" si="462">ROUND(L44*0.42,2)</f>
        <v>1837568</v>
      </c>
      <c r="N44" s="9">
        <f t="shared" ref="N44:N49" si="463">ROUND(L44*0,2)</f>
        <v>0</v>
      </c>
      <c r="O44" s="9">
        <f>ROUND((L44*0.0955)+(L44*0.41),2)</f>
        <v>2211644.34</v>
      </c>
      <c r="P44" s="9">
        <f t="shared" ref="P44:P49" si="464">ROUND((L44*0.04)*0.9,2)</f>
        <v>157505.82999999999</v>
      </c>
      <c r="Q44" s="9">
        <f t="shared" ref="Q44:Q49" si="465">ROUND(L44*0.005,2)</f>
        <v>21875.81</v>
      </c>
      <c r="R44" s="9">
        <f t="shared" ref="R44" si="466">ROUND((L44*0.0075)*0.9,2)</f>
        <v>29532.34</v>
      </c>
      <c r="S44" s="9">
        <f t="shared" ref="S44" si="467">ROUND((L44*0.0075)*0.9,2)</f>
        <v>29532.34</v>
      </c>
      <c r="T44" s="9">
        <f>ROUND(L44*0.02,2)/2</f>
        <v>43751.62</v>
      </c>
      <c r="U44" s="9">
        <f>ROUND(L44*0.02,2)/2</f>
        <v>43751.62</v>
      </c>
      <c r="V44" s="42">
        <f t="shared" ref="V44" si="468">E44/W44</f>
        <v>4003.0393596837998</v>
      </c>
      <c r="W44" s="10">
        <v>1265</v>
      </c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</row>
    <row r="45" spans="1:96" ht="15" customHeight="1" x14ac:dyDescent="0.25">
      <c r="A45" s="8">
        <f>Mountaineer!A45</f>
        <v>44289</v>
      </c>
      <c r="B45" s="9">
        <v>54467623.030000001</v>
      </c>
      <c r="C45" s="9">
        <v>48807230.030000001</v>
      </c>
      <c r="D45" s="9">
        <v>855985</v>
      </c>
      <c r="E45" s="9">
        <f t="shared" ref="E45" si="469">B45-C45-D45</f>
        <v>4804408</v>
      </c>
      <c r="F45" s="9">
        <v>0</v>
      </c>
      <c r="G45" s="9">
        <v>192176.31</v>
      </c>
      <c r="H45" s="9">
        <f t="shared" ref="H45" si="470">E45-F45-G45</f>
        <v>4612231.6900000004</v>
      </c>
      <c r="I45" s="9">
        <v>461223.16</v>
      </c>
      <c r="J45" s="9">
        <f t="shared" ref="J45" si="471">ROUND((I45*0.58)+((I45*0.42)*0.1),2)</f>
        <v>286880.81</v>
      </c>
      <c r="K45" s="9">
        <f t="shared" ref="K45" si="472">ROUND((I45*0.42)*0.9,2)</f>
        <v>174342.35</v>
      </c>
      <c r="L45" s="69">
        <f t="shared" ref="L45" si="473">IF(J45+K45=I45,H45-I45,"ERROR")</f>
        <v>4151008.5300000003</v>
      </c>
      <c r="M45" s="9">
        <f t="shared" si="462"/>
        <v>1743423.58</v>
      </c>
      <c r="N45" s="9">
        <f t="shared" si="463"/>
        <v>0</v>
      </c>
      <c r="O45" s="9">
        <f>ROUND((L45*0.0955)+(L45*0.41),2)+0.01</f>
        <v>2098334.8199999998</v>
      </c>
      <c r="P45" s="9">
        <f t="shared" si="464"/>
        <v>149436.31</v>
      </c>
      <c r="Q45" s="9">
        <f t="shared" si="465"/>
        <v>20755.04</v>
      </c>
      <c r="R45" s="9">
        <f t="shared" ref="R45" si="474">ROUND((L45*0.0075)*0.9,2)</f>
        <v>28019.31</v>
      </c>
      <c r="S45" s="9">
        <f t="shared" ref="S45" si="475">ROUND((L45*0.0075)*0.9,2)</f>
        <v>28019.31</v>
      </c>
      <c r="T45" s="9">
        <f>ROUND(L45*0.02,2)/2-0.005</f>
        <v>41510.080000000002</v>
      </c>
      <c r="U45" s="9">
        <f>ROUND(L45*0.02,2)/2-0.005</f>
        <v>41510.080000000002</v>
      </c>
      <c r="V45" s="42">
        <f t="shared" ref="V45" si="476">E45/W45</f>
        <v>3673.0948012232416</v>
      </c>
      <c r="W45" s="10">
        <v>1308</v>
      </c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</row>
    <row r="46" spans="1:96" ht="15" customHeight="1" x14ac:dyDescent="0.25">
      <c r="A46" s="8">
        <f>Mountaineer!A46</f>
        <v>44296</v>
      </c>
      <c r="B46" s="9">
        <v>51675281.07</v>
      </c>
      <c r="C46" s="9">
        <v>46554450.75</v>
      </c>
      <c r="D46" s="9">
        <v>800079</v>
      </c>
      <c r="E46" s="9">
        <f t="shared" ref="E46" si="477">B46-C46-D46</f>
        <v>4320751.32</v>
      </c>
      <c r="F46" s="9">
        <v>0</v>
      </c>
      <c r="G46" s="9">
        <v>172830.05</v>
      </c>
      <c r="H46" s="9">
        <f t="shared" ref="H46" si="478">E46-F46-G46</f>
        <v>4147921.2700000005</v>
      </c>
      <c r="I46" s="9">
        <v>414792.13</v>
      </c>
      <c r="J46" s="9">
        <f t="shared" ref="J46" si="479">ROUND((I46*0.58)+((I46*0.42)*0.1),2)</f>
        <v>258000.7</v>
      </c>
      <c r="K46" s="9">
        <f t="shared" ref="K46" si="480">ROUND((I46*0.42)*0.9,2)</f>
        <v>156791.43</v>
      </c>
      <c r="L46" s="69">
        <f t="shared" ref="L46" si="481">IF(J46+K46=I46,H46-I46,"ERROR")</f>
        <v>3733129.1400000006</v>
      </c>
      <c r="M46" s="9">
        <f t="shared" si="462"/>
        <v>1567914.24</v>
      </c>
      <c r="N46" s="9">
        <f t="shared" si="463"/>
        <v>0</v>
      </c>
      <c r="O46" s="9">
        <f>ROUND((L46*0.0955)+(L46*0.41),2)-0.02</f>
        <v>1887096.76</v>
      </c>
      <c r="P46" s="9">
        <f t="shared" si="464"/>
        <v>134392.65</v>
      </c>
      <c r="Q46" s="9">
        <f t="shared" si="465"/>
        <v>18665.650000000001</v>
      </c>
      <c r="R46" s="9">
        <f t="shared" ref="R46" si="482">ROUND((L46*0.0075)*0.9,2)</f>
        <v>25198.62</v>
      </c>
      <c r="S46" s="9">
        <f t="shared" ref="S46" si="483">ROUND((L46*0.0075)*0.9,2)</f>
        <v>25198.62</v>
      </c>
      <c r="T46" s="9">
        <f>ROUND(L46*0.02,2)/2+0.01</f>
        <v>37331.300000000003</v>
      </c>
      <c r="U46" s="9">
        <f>ROUND(L46*0.02,2)/2+0.01</f>
        <v>37331.300000000003</v>
      </c>
      <c r="V46" s="42">
        <f t="shared" ref="V46" si="484">E46/W46</f>
        <v>3205.3051335311575</v>
      </c>
      <c r="W46" s="10">
        <v>1348</v>
      </c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</row>
    <row r="47" spans="1:96" ht="15" customHeight="1" x14ac:dyDescent="0.25">
      <c r="A47" s="8">
        <f>Mountaineer!A47</f>
        <v>44303</v>
      </c>
      <c r="B47" s="9">
        <v>50181935.140000001</v>
      </c>
      <c r="C47" s="9">
        <v>45382618.300000004</v>
      </c>
      <c r="D47" s="9">
        <v>807243</v>
      </c>
      <c r="E47" s="9">
        <f t="shared" ref="E47" si="485">B47-C47-D47</f>
        <v>3992073.8399999961</v>
      </c>
      <c r="F47" s="9">
        <v>0</v>
      </c>
      <c r="G47" s="9">
        <v>159682.96000000002</v>
      </c>
      <c r="H47" s="9">
        <f t="shared" ref="H47" si="486">E47-F47-G47</f>
        <v>3832390.8799999962</v>
      </c>
      <c r="I47" s="9">
        <v>383239.09</v>
      </c>
      <c r="J47" s="9">
        <f t="shared" ref="J47" si="487">ROUND((I47*0.58)+((I47*0.42)*0.1),2)</f>
        <v>238374.71</v>
      </c>
      <c r="K47" s="9">
        <f t="shared" ref="K47" si="488">ROUND((I47*0.42)*0.9,2)</f>
        <v>144864.38</v>
      </c>
      <c r="L47" s="69">
        <f t="shared" ref="L47" si="489">IF(J47+K47=I47,H47-I47,"ERROR")</f>
        <v>3449151.7899999963</v>
      </c>
      <c r="M47" s="9">
        <f t="shared" si="462"/>
        <v>1448643.75</v>
      </c>
      <c r="N47" s="9">
        <f t="shared" si="463"/>
        <v>0</v>
      </c>
      <c r="O47" s="9">
        <f>ROUND((L47*0.0955)+(L47*0.41),2)+0.01</f>
        <v>1743546.24</v>
      </c>
      <c r="P47" s="9">
        <f t="shared" si="464"/>
        <v>124169.46</v>
      </c>
      <c r="Q47" s="9">
        <f t="shared" si="465"/>
        <v>17245.759999999998</v>
      </c>
      <c r="R47" s="9">
        <f t="shared" ref="R47" si="490">ROUND((L47*0.0075)*0.9,2)</f>
        <v>23281.77</v>
      </c>
      <c r="S47" s="9">
        <f t="shared" ref="S47" si="491">ROUND((L47*0.0075)*0.9,2)</f>
        <v>23281.77</v>
      </c>
      <c r="T47" s="9">
        <f>ROUND(L47*0.02,2)/2</f>
        <v>34491.519999999997</v>
      </c>
      <c r="U47" s="9">
        <f>ROUND(L47*0.02,2)/2</f>
        <v>34491.519999999997</v>
      </c>
      <c r="V47" s="42">
        <f t="shared" ref="V47" si="492">E47/W47</f>
        <v>2954.9029163582504</v>
      </c>
      <c r="W47" s="10">
        <v>1351</v>
      </c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</row>
    <row r="48" spans="1:96" ht="15" customHeight="1" x14ac:dyDescent="0.25">
      <c r="A48" s="8">
        <f>Mountaineer!A48</f>
        <v>44310</v>
      </c>
      <c r="B48" s="9">
        <v>50339452.109999999</v>
      </c>
      <c r="C48" s="9">
        <v>45347757.819999993</v>
      </c>
      <c r="D48" s="9">
        <v>836367</v>
      </c>
      <c r="E48" s="9">
        <f t="shared" ref="E48" si="493">B48-C48-D48</f>
        <v>4155327.2900000066</v>
      </c>
      <c r="F48" s="9">
        <v>0</v>
      </c>
      <c r="G48" s="9">
        <v>166213.07999999999</v>
      </c>
      <c r="H48" s="9">
        <f t="shared" ref="H48" si="494">E48-F48-G48</f>
        <v>3989114.2100000065</v>
      </c>
      <c r="I48" s="9">
        <v>398911.43</v>
      </c>
      <c r="J48" s="9">
        <f t="shared" ref="J48" si="495">ROUND((I48*0.58)+((I48*0.42)*0.1),2)</f>
        <v>248122.91</v>
      </c>
      <c r="K48" s="9">
        <f t="shared" ref="K48" si="496">ROUND((I48*0.42)*0.9,2)</f>
        <v>150788.51999999999</v>
      </c>
      <c r="L48" s="69">
        <f t="shared" ref="L48" si="497">IF(J48+K48=I48,H48-I48,"ERROR")</f>
        <v>3590202.7800000063</v>
      </c>
      <c r="M48" s="9">
        <f t="shared" si="462"/>
        <v>1507885.17</v>
      </c>
      <c r="N48" s="9">
        <f t="shared" si="463"/>
        <v>0</v>
      </c>
      <c r="O48" s="9">
        <f>ROUND((L48*0.0955)+(L48*0.41),2)+0.01</f>
        <v>1814847.52</v>
      </c>
      <c r="P48" s="9">
        <f t="shared" si="464"/>
        <v>129247.3</v>
      </c>
      <c r="Q48" s="9">
        <f t="shared" si="465"/>
        <v>17951.009999999998</v>
      </c>
      <c r="R48" s="9">
        <f t="shared" ref="R48" si="498">ROUND((L48*0.0075)*0.9,2)</f>
        <v>24233.87</v>
      </c>
      <c r="S48" s="9">
        <f t="shared" ref="S48" si="499">ROUND((L48*0.0075)*0.9,2)</f>
        <v>24233.87</v>
      </c>
      <c r="T48" s="9">
        <f>ROUND(L48*0.02,2)/2-0.01</f>
        <v>35902.019999999997</v>
      </c>
      <c r="U48" s="9">
        <f>ROUND(L48*0.02,2)/2-0.01</f>
        <v>35902.019999999997</v>
      </c>
      <c r="V48" s="42">
        <f t="shared" ref="V48" si="500">E48/W48</f>
        <v>3066.6622066420714</v>
      </c>
      <c r="W48" s="10">
        <v>1355</v>
      </c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</row>
    <row r="49" spans="1:96" ht="15" customHeight="1" x14ac:dyDescent="0.25">
      <c r="A49" s="8">
        <f>Mountaineer!A49</f>
        <v>44317</v>
      </c>
      <c r="B49" s="9">
        <v>51378141.650000006</v>
      </c>
      <c r="C49" s="9">
        <v>46014813.860000007</v>
      </c>
      <c r="D49" s="9">
        <v>855304</v>
      </c>
      <c r="E49" s="9">
        <f t="shared" ref="E49" si="501">B49-C49-D49</f>
        <v>4508023.7899999991</v>
      </c>
      <c r="F49" s="9">
        <v>0</v>
      </c>
      <c r="G49" s="9">
        <v>180320.96</v>
      </c>
      <c r="H49" s="9">
        <f t="shared" ref="H49" si="502">E49-F49-G49</f>
        <v>4327702.8299999991</v>
      </c>
      <c r="I49" s="9">
        <v>432770.28</v>
      </c>
      <c r="J49" s="9">
        <f t="shared" ref="J49" si="503">ROUND((I49*0.58)+((I49*0.42)*0.1),2)</f>
        <v>269183.11</v>
      </c>
      <c r="K49" s="9">
        <f t="shared" ref="K49" si="504">ROUND((I49*0.42)*0.9,2)</f>
        <v>163587.17000000001</v>
      </c>
      <c r="L49" s="69">
        <f t="shared" ref="L49" si="505">IF(J49+K49=I49,H49-I49,"ERROR")</f>
        <v>3894932.5499999989</v>
      </c>
      <c r="M49" s="9">
        <f t="shared" si="462"/>
        <v>1635871.67</v>
      </c>
      <c r="N49" s="9">
        <f t="shared" si="463"/>
        <v>0</v>
      </c>
      <c r="O49" s="9">
        <f>ROUND((L49*0.0955)+(L49*0.41),2)+0.03</f>
        <v>1968888.43</v>
      </c>
      <c r="P49" s="9">
        <f t="shared" si="464"/>
        <v>140217.57</v>
      </c>
      <c r="Q49" s="9">
        <f t="shared" si="465"/>
        <v>19474.66</v>
      </c>
      <c r="R49" s="9">
        <f t="shared" ref="R49" si="506">ROUND((L49*0.0075)*0.9,2)</f>
        <v>26290.79</v>
      </c>
      <c r="S49" s="9">
        <f t="shared" ref="S49" si="507">ROUND((L49*0.0075)*0.9,2)</f>
        <v>26290.79</v>
      </c>
      <c r="T49" s="9">
        <f>ROUND(L49*0.02,2)/2-0.005</f>
        <v>38949.32</v>
      </c>
      <c r="U49" s="9">
        <f>ROUND(L49*0.02,2)/2-0.005</f>
        <v>38949.32</v>
      </c>
      <c r="V49" s="42">
        <f t="shared" ref="V49" si="508">E49/W49</f>
        <v>3314.7233749999991</v>
      </c>
      <c r="W49" s="10">
        <v>1360</v>
      </c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</row>
    <row r="50" spans="1:96" ht="15" customHeight="1" x14ac:dyDescent="0.25">
      <c r="A50" s="8">
        <f>Mountaineer!A50</f>
        <v>44324</v>
      </c>
      <c r="B50" s="9">
        <v>48019878.399999999</v>
      </c>
      <c r="C50" s="9">
        <v>43143247.530000001</v>
      </c>
      <c r="D50" s="9">
        <v>810504</v>
      </c>
      <c r="E50" s="9">
        <f t="shared" ref="E50" si="509">B50-C50-D50</f>
        <v>4066126.8699999973</v>
      </c>
      <c r="F50" s="9">
        <v>0</v>
      </c>
      <c r="G50" s="9">
        <v>162645.09</v>
      </c>
      <c r="H50" s="9">
        <f t="shared" ref="H50" si="510">E50-F50-G50</f>
        <v>3903481.7799999975</v>
      </c>
      <c r="I50" s="9">
        <v>390348.18</v>
      </c>
      <c r="J50" s="9">
        <f t="shared" ref="J50" si="511">ROUND((I50*0.58)+((I50*0.42)*0.1),2)</f>
        <v>242796.57</v>
      </c>
      <c r="K50" s="9">
        <f t="shared" ref="K50" si="512">ROUND((I50*0.42)*0.9,2)</f>
        <v>147551.60999999999</v>
      </c>
      <c r="L50" s="69">
        <f t="shared" ref="L50" si="513">IF(J50+K50=I50,H50-I50,"ERROR")</f>
        <v>3513133.5999999973</v>
      </c>
      <c r="M50" s="9">
        <f t="shared" ref="M50" si="514">ROUND(L50*0.42,2)</f>
        <v>1475516.11</v>
      </c>
      <c r="N50" s="9">
        <f t="shared" ref="N50" si="515">ROUND(L50*0,2)</f>
        <v>0</v>
      </c>
      <c r="O50" s="9">
        <f>ROUND((L50*0.0955)+(L50*0.41),2)</f>
        <v>1775889.03</v>
      </c>
      <c r="P50" s="9">
        <f t="shared" ref="P50" si="516">ROUND((L50*0.04)*0.9,2)</f>
        <v>126472.81</v>
      </c>
      <c r="Q50" s="9">
        <f t="shared" ref="Q50" si="517">ROUND(L50*0.005,2)</f>
        <v>17565.669999999998</v>
      </c>
      <c r="R50" s="9">
        <f t="shared" ref="R50" si="518">ROUND((L50*0.0075)*0.9,2)</f>
        <v>23713.65</v>
      </c>
      <c r="S50" s="9">
        <f t="shared" ref="S50" si="519">ROUND((L50*0.0075)*0.9,2)</f>
        <v>23713.65</v>
      </c>
      <c r="T50" s="9">
        <f>ROUND(L50*0.02,2)/2+0.005</f>
        <v>35131.339999999997</v>
      </c>
      <c r="U50" s="9">
        <f>ROUND(L50*0.02,2)/2+0.005</f>
        <v>35131.339999999997</v>
      </c>
      <c r="V50" s="42">
        <f t="shared" ref="V50" si="520">E50/W50</f>
        <v>3009.7164100666155</v>
      </c>
      <c r="W50" s="10">
        <v>1351</v>
      </c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</row>
    <row r="51" spans="1:96" ht="15" customHeight="1" x14ac:dyDescent="0.25">
      <c r="A51" s="8">
        <f>Mountaineer!A51</f>
        <v>44331</v>
      </c>
      <c r="B51" s="9">
        <v>48237409.799999997</v>
      </c>
      <c r="C51" s="9">
        <v>43683822.730000004</v>
      </c>
      <c r="D51" s="9">
        <v>850218</v>
      </c>
      <c r="E51" s="9">
        <f t="shared" ref="E51" si="521">B51-C51-D51</f>
        <v>3703369.0699999928</v>
      </c>
      <c r="F51" s="9">
        <v>0</v>
      </c>
      <c r="G51" s="9">
        <v>148134.76</v>
      </c>
      <c r="H51" s="9">
        <f t="shared" ref="H51" si="522">E51-F51-G51</f>
        <v>3555234.3099999931</v>
      </c>
      <c r="I51" s="9">
        <v>355523.43</v>
      </c>
      <c r="J51" s="9">
        <f t="shared" ref="J51" si="523">ROUND((I51*0.58)+((I51*0.42)*0.1),2)</f>
        <v>221135.57</v>
      </c>
      <c r="K51" s="9">
        <f t="shared" ref="K51" si="524">ROUND((I51*0.42)*0.9,2)</f>
        <v>134387.85999999999</v>
      </c>
      <c r="L51" s="69">
        <f t="shared" ref="L51" si="525">IF(J51+K51=I51,H51-I51,"ERROR")</f>
        <v>3199710.8799999929</v>
      </c>
      <c r="M51" s="9">
        <f t="shared" ref="M51" si="526">ROUND(L51*0.42,2)</f>
        <v>1343878.57</v>
      </c>
      <c r="N51" s="9">
        <f t="shared" ref="N51" si="527">ROUND(L51*0,2)</f>
        <v>0</v>
      </c>
      <c r="O51" s="9">
        <f>ROUND((L51*0.0955)+(L51*0.41),2)+0.02</f>
        <v>1617453.87</v>
      </c>
      <c r="P51" s="9">
        <f t="shared" ref="P51" si="528">ROUND((L51*0.04)*0.9,2)</f>
        <v>115189.59</v>
      </c>
      <c r="Q51" s="9">
        <f t="shared" ref="Q51" si="529">ROUND(L51*0.005,2)</f>
        <v>15998.55</v>
      </c>
      <c r="R51" s="9">
        <f t="shared" ref="R51" si="530">ROUND((L51*0.0075)*0.9,2)</f>
        <v>21598.05</v>
      </c>
      <c r="S51" s="9">
        <f t="shared" ref="S51" si="531">ROUND((L51*0.0075)*0.9,2)</f>
        <v>21598.05</v>
      </c>
      <c r="T51" s="9">
        <f>ROUND(L51*0.02,2)/2-0.01</f>
        <v>31997.100000000002</v>
      </c>
      <c r="U51" s="9">
        <f>ROUND(L51*0.02,2)/2-0.01</f>
        <v>31997.100000000002</v>
      </c>
      <c r="V51" s="42">
        <f t="shared" ref="V51" si="532">E51/W51</f>
        <v>2782.3959954921056</v>
      </c>
      <c r="W51" s="10">
        <v>1331</v>
      </c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</row>
    <row r="52" spans="1:96" ht="15" customHeight="1" x14ac:dyDescent="0.25">
      <c r="A52" s="8">
        <f>Mountaineer!A52</f>
        <v>44338</v>
      </c>
      <c r="B52" s="9">
        <v>47083755.230000004</v>
      </c>
      <c r="C52" s="9">
        <v>42157265.369999997</v>
      </c>
      <c r="D52" s="9">
        <v>422036.8</v>
      </c>
      <c r="E52" s="9">
        <f t="shared" ref="E52" si="533">B52-C52-D52</f>
        <v>4504453.060000007</v>
      </c>
      <c r="F52" s="9">
        <v>0</v>
      </c>
      <c r="G52" s="9">
        <v>180178.12</v>
      </c>
      <c r="H52" s="9">
        <f t="shared" ref="H52" si="534">E52-F52-G52</f>
        <v>4324274.9400000069</v>
      </c>
      <c r="I52" s="9">
        <v>432427.49</v>
      </c>
      <c r="J52" s="9">
        <f t="shared" ref="J52" si="535">ROUND((I52*0.58)+((I52*0.42)*0.1),2)</f>
        <v>268969.90000000002</v>
      </c>
      <c r="K52" s="9">
        <f t="shared" ref="K52" si="536">ROUND((I52*0.42)*0.9,2)</f>
        <v>163457.59</v>
      </c>
      <c r="L52" s="69">
        <f t="shared" ref="L52" si="537">IF(J52+K52=I52,H52-I52,"ERROR")</f>
        <v>3891847.4500000067</v>
      </c>
      <c r="M52" s="9">
        <f t="shared" ref="M52" si="538">ROUND(L52*0.42,2)</f>
        <v>1634575.93</v>
      </c>
      <c r="N52" s="9">
        <f t="shared" ref="N52" si="539">ROUND(L52*0,2)</f>
        <v>0</v>
      </c>
      <c r="O52" s="9">
        <f>ROUND((L52*0.0955)+(L52*0.41),2)-0.02</f>
        <v>1967328.8699999999</v>
      </c>
      <c r="P52" s="9">
        <f t="shared" ref="P52" si="540">ROUND((L52*0.04)*0.9,2)</f>
        <v>140106.51</v>
      </c>
      <c r="Q52" s="9">
        <f t="shared" ref="Q52" si="541">ROUND(L52*0.005,2)</f>
        <v>19459.240000000002</v>
      </c>
      <c r="R52" s="9">
        <f t="shared" ref="R52" si="542">ROUND((L52*0.0075)*0.9,2)</f>
        <v>26269.97</v>
      </c>
      <c r="S52" s="9">
        <f t="shared" ref="S52" si="543">ROUND((L52*0.0075)*0.9,2)</f>
        <v>26269.97</v>
      </c>
      <c r="T52" s="9">
        <f>ROUND(L52*0.02,2)/2+0.005</f>
        <v>38918.479999999996</v>
      </c>
      <c r="U52" s="9">
        <f>ROUND(L52*0.02,2)/2+0.005</f>
        <v>38918.479999999996</v>
      </c>
      <c r="V52" s="42">
        <f t="shared" ref="V52" si="544">E52/W52</f>
        <v>3384.2622539444078</v>
      </c>
      <c r="W52" s="10">
        <v>1331</v>
      </c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</row>
    <row r="53" spans="1:96" ht="15" customHeight="1" x14ac:dyDescent="0.25">
      <c r="A53" s="8">
        <f>Mountaineer!A53</f>
        <v>44345</v>
      </c>
      <c r="B53" s="9">
        <v>53618142.560000002</v>
      </c>
      <c r="C53" s="9">
        <v>48313159.969999999</v>
      </c>
      <c r="D53" s="9">
        <v>0</v>
      </c>
      <c r="E53" s="9">
        <f t="shared" ref="E53" si="545">B53-C53-D53</f>
        <v>5304982.5900000036</v>
      </c>
      <c r="F53" s="9">
        <v>0</v>
      </c>
      <c r="G53" s="9">
        <v>212199.3</v>
      </c>
      <c r="H53" s="9">
        <f t="shared" ref="H53" si="546">E53-F53-G53</f>
        <v>5092783.2900000038</v>
      </c>
      <c r="I53" s="9">
        <v>509278.33</v>
      </c>
      <c r="J53" s="9">
        <f t="shared" ref="J53" si="547">ROUND((I53*0.58)+((I53*0.42)*0.1),2)</f>
        <v>316771.12</v>
      </c>
      <c r="K53" s="9">
        <f t="shared" ref="K53" si="548">ROUND((I53*0.42)*0.9,2)</f>
        <v>192507.21</v>
      </c>
      <c r="L53" s="69">
        <f t="shared" ref="L53" si="549">IF(J53+K53=I53,H53-I53,"ERROR")</f>
        <v>4583504.9600000037</v>
      </c>
      <c r="M53" s="9">
        <f t="shared" ref="M53" si="550">ROUND(L53*0.42,2)</f>
        <v>1925072.08</v>
      </c>
      <c r="N53" s="9">
        <f t="shared" ref="N53" si="551">ROUND(L53*0,2)</f>
        <v>0</v>
      </c>
      <c r="O53" s="9">
        <f>ROUND((L53*0.0955)+(L53*0.41),2)+0.02</f>
        <v>2316961.7799999998</v>
      </c>
      <c r="P53" s="9">
        <f t="shared" ref="P53" si="552">ROUND((L53*0.04)*0.9,2)</f>
        <v>165006.18</v>
      </c>
      <c r="Q53" s="9">
        <f t="shared" ref="Q53" si="553">ROUND(L53*0.005,2)</f>
        <v>22917.52</v>
      </c>
      <c r="R53" s="9">
        <f t="shared" ref="R53" si="554">ROUND((L53*0.0075)*0.9,2)</f>
        <v>30938.66</v>
      </c>
      <c r="S53" s="9">
        <f t="shared" ref="S53" si="555">ROUND((L53*0.0075)*0.9,2)</f>
        <v>30938.66</v>
      </c>
      <c r="T53" s="9">
        <f>ROUND(L53*0.02,2)/2-0.01</f>
        <v>45835.040000000001</v>
      </c>
      <c r="U53" s="9">
        <f>ROUND(L53*0.02,2)/2-0.01</f>
        <v>45835.040000000001</v>
      </c>
      <c r="V53" s="42">
        <f t="shared" ref="V53" si="556">E53/W53</f>
        <v>3767.7433167613663</v>
      </c>
      <c r="W53" s="10">
        <v>1408</v>
      </c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</row>
    <row r="54" spans="1:96" ht="15" customHeight="1" x14ac:dyDescent="0.25">
      <c r="A54" s="8">
        <f>Mountaineer!A54</f>
        <v>44352</v>
      </c>
      <c r="B54" s="9">
        <v>56702812.349999994</v>
      </c>
      <c r="C54" s="9">
        <v>51010460.200000003</v>
      </c>
      <c r="D54" s="9">
        <v>0</v>
      </c>
      <c r="E54" s="9">
        <f t="shared" ref="E54" si="557">B54-C54-D54</f>
        <v>5692352.1499999911</v>
      </c>
      <c r="F54" s="9">
        <v>0</v>
      </c>
      <c r="G54" s="9">
        <v>227694.07999999999</v>
      </c>
      <c r="H54" s="9">
        <f t="shared" ref="H54" si="558">E54-F54-G54</f>
        <v>5464658.069999991</v>
      </c>
      <c r="I54" s="9">
        <v>546465.81000000006</v>
      </c>
      <c r="J54" s="9">
        <f t="shared" ref="J54" si="559">ROUND((I54*0.58)+((I54*0.42)*0.1),2)</f>
        <v>339901.73</v>
      </c>
      <c r="K54" s="9">
        <f t="shared" ref="K54" si="560">ROUND((I54*0.42)*0.9,2)</f>
        <v>206564.08</v>
      </c>
      <c r="L54" s="69">
        <f t="shared" ref="L54" si="561">IF(J54+K54=I54,H54-I54,"ERROR")</f>
        <v>4918192.2599999905</v>
      </c>
      <c r="M54" s="9">
        <f t="shared" ref="M54" si="562">ROUND(L54*0.42,2)</f>
        <v>2065640.75</v>
      </c>
      <c r="N54" s="9">
        <f t="shared" ref="N54" si="563">ROUND(L54*0,2)</f>
        <v>0</v>
      </c>
      <c r="O54" s="9">
        <f>ROUND((L54*0.0955)+(L54*0.41),2)</f>
        <v>2486146.19</v>
      </c>
      <c r="P54" s="9">
        <f t="shared" ref="P54" si="564">ROUND((L54*0.04)*0.9,2)</f>
        <v>177054.92</v>
      </c>
      <c r="Q54" s="9">
        <f t="shared" ref="Q54" si="565">ROUND(L54*0.005,2)</f>
        <v>24590.959999999999</v>
      </c>
      <c r="R54" s="9">
        <f t="shared" ref="R54" si="566">ROUND((L54*0.0075)*0.9,2)</f>
        <v>33197.800000000003</v>
      </c>
      <c r="S54" s="9">
        <f t="shared" ref="S54" si="567">ROUND((L54*0.0075)*0.9,2)</f>
        <v>33197.800000000003</v>
      </c>
      <c r="T54" s="9">
        <f>ROUND(L54*0.02,2)/2-0.005</f>
        <v>49181.920000000006</v>
      </c>
      <c r="U54" s="9">
        <f>ROUND(L54*0.02,2)/2-0.005</f>
        <v>49181.920000000006</v>
      </c>
      <c r="V54" s="42">
        <f t="shared" ref="V54" si="568">E54/W54</f>
        <v>3848.7844151453623</v>
      </c>
      <c r="W54" s="10">
        <v>1479</v>
      </c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</row>
    <row r="55" spans="1:96" ht="15" customHeight="1" x14ac:dyDescent="0.25">
      <c r="A55" s="8">
        <f>Mountaineer!A55</f>
        <v>44359</v>
      </c>
      <c r="B55" s="9">
        <v>48756068.5</v>
      </c>
      <c r="C55" s="9">
        <v>43693884.43</v>
      </c>
      <c r="D55" s="9">
        <v>0</v>
      </c>
      <c r="E55" s="9">
        <f t="shared" ref="E55" si="569">B55-C55-D55</f>
        <v>5062184.07</v>
      </c>
      <c r="F55" s="9">
        <v>0</v>
      </c>
      <c r="G55" s="9">
        <v>202487.35</v>
      </c>
      <c r="H55" s="9">
        <f t="shared" ref="H55" si="570">E55-F55-G55</f>
        <v>4859696.7200000007</v>
      </c>
      <c r="I55" s="9">
        <v>485969.68</v>
      </c>
      <c r="J55" s="9">
        <f t="shared" ref="J55" si="571">ROUND((I55*0.58)+((I55*0.42)*0.1),2)</f>
        <v>302273.14</v>
      </c>
      <c r="K55" s="9">
        <f t="shared" ref="K55" si="572">ROUND((I55*0.42)*0.9,2)</f>
        <v>183696.54</v>
      </c>
      <c r="L55" s="69">
        <f t="shared" ref="L55" si="573">IF(J55+K55=I55,H55-I55,"ERROR")</f>
        <v>4373727.040000001</v>
      </c>
      <c r="M55" s="9">
        <f t="shared" ref="M55" si="574">ROUND(L55*0.42,2)</f>
        <v>1836965.36</v>
      </c>
      <c r="N55" s="9">
        <f t="shared" ref="N55" si="575">ROUND(L55*0,2)</f>
        <v>0</v>
      </c>
      <c r="O55" s="9">
        <f>ROUND((L55*0.0955)+(L55*0.41),2)-0.01</f>
        <v>2210919.0100000002</v>
      </c>
      <c r="P55" s="9">
        <f t="shared" ref="P55" si="576">ROUND((L55*0.04)*0.9,2)</f>
        <v>157454.17000000001</v>
      </c>
      <c r="Q55" s="9">
        <f t="shared" ref="Q55" si="577">ROUND(L55*0.005,2)</f>
        <v>21868.639999999999</v>
      </c>
      <c r="R55" s="9">
        <f t="shared" ref="R55" si="578">ROUND((L55*0.0075)*0.9,2)</f>
        <v>29522.66</v>
      </c>
      <c r="S55" s="9">
        <f t="shared" ref="S55" si="579">ROUND((L55*0.0075)*0.9,2)</f>
        <v>29522.66</v>
      </c>
      <c r="T55" s="9">
        <f>ROUND(L55*0.02,2)/2</f>
        <v>43737.27</v>
      </c>
      <c r="U55" s="9">
        <f>ROUND(L55*0.02,2)/2</f>
        <v>43737.27</v>
      </c>
      <c r="V55" s="42">
        <f t="shared" ref="V55" si="580">E55/W55</f>
        <v>3317.2896920052426</v>
      </c>
      <c r="W55" s="10">
        <v>1526</v>
      </c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</row>
    <row r="56" spans="1:96" ht="15" customHeight="1" x14ac:dyDescent="0.25">
      <c r="A56" s="8">
        <f>Mountaineer!A56</f>
        <v>44366</v>
      </c>
      <c r="B56" s="9">
        <v>52992429.859999999</v>
      </c>
      <c r="C56" s="9">
        <v>47612646.100000001</v>
      </c>
      <c r="D56" s="9">
        <v>0</v>
      </c>
      <c r="E56" s="9">
        <f t="shared" ref="E56" si="581">B56-C56-D56</f>
        <v>5379783.7599999979</v>
      </c>
      <c r="F56" s="9">
        <v>0</v>
      </c>
      <c r="G56" s="9">
        <v>215191.36</v>
      </c>
      <c r="H56" s="9">
        <f t="shared" ref="H56" si="582">E56-F56-G56</f>
        <v>5164592.3999999976</v>
      </c>
      <c r="I56" s="9">
        <v>516459.24</v>
      </c>
      <c r="J56" s="9">
        <f t="shared" ref="J56" si="583">ROUND((I56*0.58)+((I56*0.42)*0.1),2)</f>
        <v>321237.65000000002</v>
      </c>
      <c r="K56" s="9">
        <f t="shared" ref="K56" si="584">ROUND((I56*0.42)*0.9,2)</f>
        <v>195221.59</v>
      </c>
      <c r="L56" s="69">
        <f t="shared" ref="L56" si="585">IF(J56+K56=I56,H56-I56,"ERROR")</f>
        <v>4648133.1599999974</v>
      </c>
      <c r="M56" s="9">
        <f t="shared" ref="M56" si="586">ROUND(L56*0.42,2)</f>
        <v>1952215.93</v>
      </c>
      <c r="N56" s="9">
        <f t="shared" ref="N56" si="587">ROUND(L56*0,2)</f>
        <v>0</v>
      </c>
      <c r="O56" s="9">
        <f>ROUND((L56*0.0955)+(L56*0.41),2)-0.02</f>
        <v>2349631.29</v>
      </c>
      <c r="P56" s="9">
        <f t="shared" ref="P56" si="588">ROUND((L56*0.04)*0.9,2)</f>
        <v>167332.79</v>
      </c>
      <c r="Q56" s="9">
        <f t="shared" ref="Q56" si="589">ROUND(L56*0.005,2)</f>
        <v>23240.67</v>
      </c>
      <c r="R56" s="9">
        <f t="shared" ref="R56" si="590">ROUND((L56*0.0075)*0.9,2)</f>
        <v>31374.9</v>
      </c>
      <c r="S56" s="9">
        <f t="shared" ref="S56" si="591">ROUND((L56*0.0075)*0.9,2)</f>
        <v>31374.9</v>
      </c>
      <c r="T56" s="9">
        <f>ROUND(L56*0.02,2)/2+0.01</f>
        <v>46481.340000000004</v>
      </c>
      <c r="U56" s="9">
        <f>ROUND(L56*0.02,2)/2+0.01</f>
        <v>46481.340000000004</v>
      </c>
      <c r="V56" s="42">
        <f t="shared" ref="V56" si="592">E56/W56</f>
        <v>3448.5793333333322</v>
      </c>
      <c r="W56" s="10">
        <v>1560</v>
      </c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</row>
    <row r="57" spans="1:96" ht="15" customHeight="1" x14ac:dyDescent="0.25">
      <c r="A57" s="8">
        <f>Mountaineer!A57</f>
        <v>44373</v>
      </c>
      <c r="B57" s="9">
        <v>56380051.469999999</v>
      </c>
      <c r="C57" s="9">
        <v>50873944.180000007</v>
      </c>
      <c r="D57" s="9">
        <v>0</v>
      </c>
      <c r="E57" s="9">
        <f t="shared" ref="E57" si="593">B57-C57-D57</f>
        <v>5506107.2899999917</v>
      </c>
      <c r="F57" s="9">
        <v>0</v>
      </c>
      <c r="G57" s="9">
        <v>220244.3</v>
      </c>
      <c r="H57" s="9">
        <f t="shared" ref="H57" si="594">E57-F57-G57</f>
        <v>5285862.9899999918</v>
      </c>
      <c r="I57" s="9">
        <v>528586.29</v>
      </c>
      <c r="J57" s="9">
        <f t="shared" ref="J57" si="595">ROUND((I57*0.58)+((I57*0.42)*0.1),2)</f>
        <v>328780.67</v>
      </c>
      <c r="K57" s="9">
        <f t="shared" ref="K57" si="596">ROUND((I57*0.42)*0.9,2)</f>
        <v>199805.62</v>
      </c>
      <c r="L57" s="69">
        <f t="shared" ref="L57" si="597">IF(J57+K57=I57,H57-I57,"ERROR")</f>
        <v>4757276.6999999918</v>
      </c>
      <c r="M57" s="9">
        <f t="shared" ref="M57" si="598">ROUND(L57*0.42,2)</f>
        <v>1998056.21</v>
      </c>
      <c r="N57" s="9">
        <f t="shared" ref="N57" si="599">ROUND(L57*0,2)</f>
        <v>0</v>
      </c>
      <c r="O57" s="9">
        <f>ROUND((L57*0.0955)+(L57*0.41),2)+0.02</f>
        <v>2404803.39</v>
      </c>
      <c r="P57" s="9">
        <f t="shared" ref="P57" si="600">ROUND((L57*0.04)*0.9,2)</f>
        <v>171261.96</v>
      </c>
      <c r="Q57" s="9">
        <f t="shared" ref="Q57" si="601">ROUND(L57*0.005,2)</f>
        <v>23786.38</v>
      </c>
      <c r="R57" s="9">
        <f t="shared" ref="R57" si="602">ROUND((L57*0.0075)*0.9,2)</f>
        <v>32111.62</v>
      </c>
      <c r="S57" s="9">
        <f t="shared" ref="S57" si="603">ROUND((L57*0.0075)*0.9,2)</f>
        <v>32111.62</v>
      </c>
      <c r="T57" s="9">
        <f>ROUND(L57*0.02,2)/2-0.005</f>
        <v>47572.76</v>
      </c>
      <c r="U57" s="9">
        <f>ROUND(L57*0.02,2)/2-0.005</f>
        <v>47572.76</v>
      </c>
      <c r="V57" s="42">
        <f t="shared" ref="V57" si="604">E57/W57</f>
        <v>3388.3737169230717</v>
      </c>
      <c r="W57" s="10">
        <v>1625</v>
      </c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</row>
    <row r="58" spans="1:96" ht="15" customHeight="1" x14ac:dyDescent="0.25">
      <c r="A58" s="8" t="str">
        <f>Mountaineer!A58</f>
        <v>6/30/2021  ***</v>
      </c>
      <c r="B58" s="9">
        <v>25887190.57</v>
      </c>
      <c r="C58" s="9">
        <v>23164332.079999998</v>
      </c>
      <c r="D58" s="9">
        <v>0</v>
      </c>
      <c r="E58" s="9">
        <f t="shared" ref="E58" si="605">B58-C58-D58</f>
        <v>2722858.4900000021</v>
      </c>
      <c r="F58" s="9">
        <v>0</v>
      </c>
      <c r="G58" s="9">
        <v>108914.34</v>
      </c>
      <c r="H58" s="9">
        <f t="shared" ref="H58" si="606">E58-F58-G58</f>
        <v>2613944.1500000022</v>
      </c>
      <c r="I58" s="9">
        <v>261394.41</v>
      </c>
      <c r="J58" s="9">
        <f t="shared" ref="J58" si="607">ROUND((I58*0.58)+((I58*0.42)*0.1),2)</f>
        <v>162587.32</v>
      </c>
      <c r="K58" s="9">
        <f t="shared" ref="K58" si="608">ROUND((I58*0.42)*0.9,2)</f>
        <v>98807.09</v>
      </c>
      <c r="L58" s="69">
        <f t="shared" ref="L58" si="609">IF(J58+K58=I58,H58-I58,"ERROR")</f>
        <v>2352549.7400000021</v>
      </c>
      <c r="M58" s="9">
        <f t="shared" ref="M58" si="610">ROUND(L58*0.42,2)</f>
        <v>988070.89</v>
      </c>
      <c r="N58" s="9">
        <f t="shared" ref="N58" si="611">ROUND(L58*0,2)</f>
        <v>0</v>
      </c>
      <c r="O58" s="9">
        <f>ROUND((L58*0.0955)+(L58*0.41),2)</f>
        <v>1189213.8899999999</v>
      </c>
      <c r="P58" s="9">
        <f t="shared" ref="P58" si="612">ROUND((L58*0.04)*0.9,2)</f>
        <v>84691.79</v>
      </c>
      <c r="Q58" s="9">
        <f t="shared" ref="Q58" si="613">ROUND(L58*0.005,2)</f>
        <v>11762.75</v>
      </c>
      <c r="R58" s="9">
        <f t="shared" ref="R58" si="614">ROUND((L58*0.0075)*0.9,2)</f>
        <v>15879.71</v>
      </c>
      <c r="S58" s="9">
        <f t="shared" ref="S58" si="615">ROUND((L58*0.0075)*0.9,2)</f>
        <v>15879.71</v>
      </c>
      <c r="T58" s="9">
        <f>ROUND(L58*0.02,2)/2+0.005</f>
        <v>23525.5</v>
      </c>
      <c r="U58" s="9">
        <f>ROUND(L58*0.02,2)/2+0.005</f>
        <v>23525.5</v>
      </c>
      <c r="V58" s="42">
        <f t="shared" ref="V58" si="616">E58/W58</f>
        <v>1707.121310344829</v>
      </c>
      <c r="W58" s="10">
        <v>1595</v>
      </c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</row>
    <row r="60" spans="1:96" ht="15" customHeight="1" thickBot="1" x14ac:dyDescent="0.3">
      <c r="B60" s="14">
        <f t="shared" ref="B60:S60" si="617">SUM(B6:B59)</f>
        <v>2430597502.3599997</v>
      </c>
      <c r="C60" s="14">
        <f t="shared" si="617"/>
        <v>2185294472.5999999</v>
      </c>
      <c r="D60" s="14">
        <f t="shared" si="617"/>
        <v>33422106.800000001</v>
      </c>
      <c r="E60" s="14">
        <f t="shared" si="617"/>
        <v>211880922.95999995</v>
      </c>
      <c r="F60" s="14">
        <f t="shared" si="617"/>
        <v>5340672.8699999992</v>
      </c>
      <c r="G60" s="14">
        <f t="shared" si="617"/>
        <v>3134564.0599999996</v>
      </c>
      <c r="H60" s="14">
        <f t="shared" si="617"/>
        <v>203405686.02999997</v>
      </c>
      <c r="I60" s="14">
        <f t="shared" si="617"/>
        <v>7121859.5100000007</v>
      </c>
      <c r="J60" s="14">
        <f t="shared" si="617"/>
        <v>4429796.5999999996</v>
      </c>
      <c r="K60" s="14">
        <f t="shared" si="617"/>
        <v>2692062.9099999997</v>
      </c>
      <c r="L60" s="14">
        <f t="shared" si="617"/>
        <v>196283826.52000001</v>
      </c>
      <c r="M60" s="14">
        <f t="shared" si="617"/>
        <v>88387626.209999993</v>
      </c>
      <c r="N60" s="14">
        <f t="shared" si="617"/>
        <v>39656127.370000005</v>
      </c>
      <c r="O60" s="14">
        <f t="shared" si="617"/>
        <v>49386941.019999996</v>
      </c>
      <c r="P60" s="14">
        <f t="shared" si="617"/>
        <v>10635269.220000004</v>
      </c>
      <c r="Q60" s="14">
        <f t="shared" si="617"/>
        <v>1642354.5799999994</v>
      </c>
      <c r="R60" s="14">
        <f t="shared" si="617"/>
        <v>1324915.8099999998</v>
      </c>
      <c r="S60" s="14">
        <f t="shared" si="617"/>
        <v>1324915.8099999998</v>
      </c>
      <c r="T60" s="14">
        <f>SUM(T6:T59)+0.01</f>
        <v>2418870.0109999999</v>
      </c>
      <c r="U60" s="14">
        <f>SUM(U6:U59)+0.01</f>
        <v>1506806.4910000002</v>
      </c>
      <c r="V60" s="14">
        <f>AVERAGE(V6:V59)</f>
        <v>3089.3668818410888</v>
      </c>
      <c r="W60" s="16">
        <f>AVERAGE(W6:W59)</f>
        <v>1296.4528301886792</v>
      </c>
    </row>
    <row r="61" spans="1:96" ht="15" customHeight="1" thickTop="1" x14ac:dyDescent="0.25"/>
    <row r="62" spans="1:96" ht="15" customHeight="1" x14ac:dyDescent="0.25">
      <c r="A62" s="1" t="s">
        <v>47</v>
      </c>
    </row>
    <row r="63" spans="1:96" ht="15" customHeight="1" x14ac:dyDescent="0.25">
      <c r="A63" s="1" t="s">
        <v>16</v>
      </c>
    </row>
    <row r="64" spans="1:96" ht="15" customHeight="1" x14ac:dyDescent="0.25">
      <c r="A64" s="1" t="s">
        <v>51</v>
      </c>
      <c r="B64" s="1"/>
    </row>
  </sheetData>
  <mergeCells count="1">
    <mergeCell ref="A4:W4"/>
  </mergeCells>
  <pageMargins left="0.25" right="0.25" top="0.5" bottom="0.25" header="0" footer="0"/>
  <pageSetup paperSize="5" scale="50" orientation="landscape" r:id="rId1"/>
  <headerFooter>
    <oddHeader>&amp;CHOLLYWOOD CASINO AT CHARLES TOWN RACES VIDEO LOTTERY</oddHeader>
  </headerFooter>
  <ignoredErrors>
    <ignoredError sqref="T21:U23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64"/>
  <sheetViews>
    <sheetView zoomScaleNormal="100" workbookViewId="0">
      <pane ySplit="3" topLeftCell="A29" activePane="bottomLeft" state="frozen"/>
      <selection pane="bottomLeft" activeCell="E60" sqref="E60"/>
    </sheetView>
  </sheetViews>
  <sheetFormatPr defaultRowHeight="15" customHeight="1" x14ac:dyDescent="0.25"/>
  <cols>
    <col min="1" max="1" width="14.42578125" style="2" customWidth="1"/>
    <col min="2" max="2" width="17.5703125" style="2" customWidth="1"/>
    <col min="3" max="3" width="17.7109375" style="2" customWidth="1"/>
    <col min="4" max="4" width="16.28515625" style="2" customWidth="1"/>
    <col min="5" max="5" width="16.28515625" style="2" bestFit="1" customWidth="1"/>
    <col min="6" max="6" width="16" style="2" customWidth="1"/>
    <col min="7" max="7" width="14.5703125" style="2" customWidth="1"/>
    <col min="8" max="8" width="17.28515625" style="2" customWidth="1"/>
    <col min="9" max="9" width="14.7109375" style="2" hidden="1" customWidth="1"/>
    <col min="10" max="10" width="14.85546875" style="2" customWidth="1"/>
    <col min="11" max="11" width="13.85546875" style="2" customWidth="1"/>
    <col min="12" max="12" width="16.140625" style="2" customWidth="1"/>
    <col min="13" max="13" width="17.28515625" style="2" customWidth="1"/>
    <col min="14" max="14" width="15.85546875" style="2" customWidth="1"/>
    <col min="15" max="15" width="15.42578125" style="2" customWidth="1"/>
    <col min="16" max="16" width="15.85546875" style="2" customWidth="1"/>
    <col min="17" max="17" width="15.5703125" style="2" customWidth="1"/>
    <col min="18" max="18" width="17" style="2" customWidth="1"/>
    <col min="19" max="19" width="15.85546875" style="2" customWidth="1"/>
    <col min="20" max="20" width="15" style="2" customWidth="1"/>
    <col min="21" max="21" width="14.85546875" style="2" customWidth="1"/>
    <col min="22" max="23" width="13.7109375" style="2" customWidth="1"/>
    <col min="24" max="16384" width="9.140625" style="2"/>
  </cols>
  <sheetData>
    <row r="1" spans="1:96" s="3" customFormat="1" ht="45" x14ac:dyDescent="0.25">
      <c r="A1" s="3" t="s">
        <v>14</v>
      </c>
      <c r="B1" s="3" t="s">
        <v>18</v>
      </c>
      <c r="C1" s="3" t="s">
        <v>19</v>
      </c>
      <c r="D1" s="3" t="s">
        <v>21</v>
      </c>
      <c r="E1" s="3" t="s">
        <v>22</v>
      </c>
      <c r="F1" s="3" t="s">
        <v>20</v>
      </c>
      <c r="G1" s="3" t="s">
        <v>23</v>
      </c>
      <c r="H1" s="3" t="s">
        <v>24</v>
      </c>
      <c r="I1" s="3" t="s">
        <v>15</v>
      </c>
      <c r="J1" s="3" t="s">
        <v>25</v>
      </c>
      <c r="K1" s="3" t="s">
        <v>26</v>
      </c>
      <c r="L1" s="3" t="s">
        <v>27</v>
      </c>
      <c r="M1" s="3" t="s">
        <v>12</v>
      </c>
      <c r="N1" s="3" t="s">
        <v>28</v>
      </c>
      <c r="O1" s="3" t="s">
        <v>23</v>
      </c>
      <c r="P1" s="3" t="s">
        <v>29</v>
      </c>
      <c r="Q1" s="3" t="s">
        <v>30</v>
      </c>
      <c r="R1" s="3" t="s">
        <v>31</v>
      </c>
      <c r="S1" s="3" t="s">
        <v>32</v>
      </c>
      <c r="T1" s="3" t="s">
        <v>13</v>
      </c>
      <c r="U1" s="3" t="s">
        <v>17</v>
      </c>
      <c r="V1" s="3" t="s">
        <v>33</v>
      </c>
      <c r="W1" s="3" t="s">
        <v>36</v>
      </c>
    </row>
    <row r="2" spans="1:96" s="4" customFormat="1" ht="15" customHeight="1" x14ac:dyDescent="0.25">
      <c r="A2" s="4" t="s">
        <v>49</v>
      </c>
      <c r="B2" s="5">
        <v>4244095756.1900001</v>
      </c>
      <c r="C2" s="5">
        <v>3801988784.8699999</v>
      </c>
      <c r="D2" s="5">
        <v>57134747.769999996</v>
      </c>
      <c r="E2" s="5">
        <v>384972223.55000007</v>
      </c>
      <c r="F2" s="5">
        <v>12595690.670000006</v>
      </c>
      <c r="G2" s="5">
        <v>2803198.27</v>
      </c>
      <c r="H2" s="5">
        <v>369573334.6099999</v>
      </c>
      <c r="I2" s="5">
        <v>6326581.6199999992</v>
      </c>
      <c r="J2" s="5">
        <v>3935133.76</v>
      </c>
      <c r="K2" s="5">
        <v>2391447.86</v>
      </c>
      <c r="L2" s="5">
        <v>363246752.98999989</v>
      </c>
      <c r="M2" s="5">
        <v>166347474.58999994</v>
      </c>
      <c r="N2" s="5">
        <v>91892255.070000008</v>
      </c>
      <c r="O2" s="5">
        <v>68143299.400000006</v>
      </c>
      <c r="P2" s="5">
        <v>21347186.080000002</v>
      </c>
      <c r="Q2" s="5">
        <v>3347771.4499999997</v>
      </c>
      <c r="R2" s="5">
        <v>2451915.5799999991</v>
      </c>
      <c r="S2" s="5">
        <v>2451915.5799999991</v>
      </c>
      <c r="T2" s="5">
        <v>5431707.4500000011</v>
      </c>
      <c r="U2" s="5">
        <v>1833227.7899999996</v>
      </c>
      <c r="V2" s="9">
        <v>1916.91</v>
      </c>
      <c r="W2" s="7">
        <v>4871</v>
      </c>
    </row>
    <row r="3" spans="1:96" s="4" customFormat="1" ht="15" customHeight="1" x14ac:dyDescent="0.25"/>
    <row r="4" spans="1:96" s="4" customFormat="1" ht="15" customHeight="1" x14ac:dyDescent="0.25">
      <c r="A4" s="75" t="s">
        <v>46</v>
      </c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</row>
    <row r="5" spans="1:96" s="44" customFormat="1" ht="15" customHeight="1" x14ac:dyDescent="0.25"/>
    <row r="6" spans="1:96" ht="15" customHeight="1" x14ac:dyDescent="0.25">
      <c r="A6" s="8" t="str">
        <f>Mountaineer!A6</f>
        <v>7/4/2020 *</v>
      </c>
      <c r="B6" s="9">
        <f>SUM('Mountaineer:Charles Town'!B6)</f>
        <v>57155882.229999997</v>
      </c>
      <c r="C6" s="9">
        <f>SUM('Mountaineer:Charles Town'!C6)</f>
        <v>51371712.039999999</v>
      </c>
      <c r="D6" s="9">
        <f>SUM('Mountaineer:Charles Town'!D6)</f>
        <v>783280.85</v>
      </c>
      <c r="E6" s="9">
        <f>SUM('Mountaineer:Charles Town'!E6)</f>
        <v>5000889.3399999961</v>
      </c>
      <c r="F6" s="9">
        <f>SUM('Mountaineer:Charles Town'!F6)</f>
        <v>200035.56</v>
      </c>
      <c r="G6" s="9">
        <f>SUM('Mountaineer:Charles Town'!G6)</f>
        <v>0</v>
      </c>
      <c r="H6" s="9">
        <f>SUM('Mountaineer:Charles Town'!H6)</f>
        <v>4800853.7799999956</v>
      </c>
      <c r="I6" s="9">
        <f>SUM('Mountaineer:Charles Town'!I6)</f>
        <v>0</v>
      </c>
      <c r="J6" s="9">
        <f>SUM('Mountaineer:Charles Town'!J6)</f>
        <v>0</v>
      </c>
      <c r="K6" s="9">
        <f>SUM('Mountaineer:Charles Town'!K6)</f>
        <v>0</v>
      </c>
      <c r="L6" s="9">
        <f>SUM('Mountaineer:Charles Town'!L6)</f>
        <v>4800853.7799999956</v>
      </c>
      <c r="M6" s="9">
        <f>SUM('Mountaineer:Charles Town'!M6)</f>
        <v>2232397.0099999998</v>
      </c>
      <c r="N6" s="9">
        <f>SUM('Mountaineer:Charles Town'!N6)</f>
        <v>1440256.1099999999</v>
      </c>
      <c r="O6" s="9">
        <f>SUM('Mountaineer:Charles Town'!O6)</f>
        <v>616909.73</v>
      </c>
      <c r="P6" s="9">
        <f>SUM('Mountaineer:Charles Town'!P6)</f>
        <v>302453.79000000004</v>
      </c>
      <c r="Q6" s="9">
        <f>SUM('Mountaineer:Charles Town'!Q6)</f>
        <v>48008.54</v>
      </c>
      <c r="R6" s="9">
        <f>SUM('Mountaineer:Charles Town'!R6)</f>
        <v>32405.760000000002</v>
      </c>
      <c r="S6" s="9">
        <f>SUM('Mountaineer:Charles Town'!S6)</f>
        <v>32405.760000000002</v>
      </c>
      <c r="T6" s="9">
        <f>SUM('Mountaineer:Charles Town'!T6)</f>
        <v>96017.08</v>
      </c>
      <c r="U6" s="9">
        <f>SUM('Mountaineer:Charles Town'!U6)</f>
        <v>0</v>
      </c>
      <c r="V6" s="9">
        <f>SUM('Mountaineer:Charles Town'!V6)</f>
        <v>7016.3477843478913</v>
      </c>
      <c r="W6" s="7">
        <f>SUM('Mountaineer:Charles Town'!W6)</f>
        <v>2645</v>
      </c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</row>
    <row r="7" spans="1:96" ht="15" customHeight="1" x14ac:dyDescent="0.25">
      <c r="A7" s="8" t="str">
        <f>Mountaineer!A7</f>
        <v>7/11/2020</v>
      </c>
      <c r="B7" s="9">
        <f>SUM('Mountaineer:Charles Town'!B7)</f>
        <v>79023115.020000011</v>
      </c>
      <c r="C7" s="9">
        <f>SUM('Mountaineer:Charles Town'!C7)</f>
        <v>70695573.659999996</v>
      </c>
      <c r="D7" s="9">
        <f>SUM('Mountaineer:Charles Town'!D7)</f>
        <v>1036913.6699999999</v>
      </c>
      <c r="E7" s="9">
        <f>SUM('Mountaineer:Charles Town'!E7)</f>
        <v>7290627.6899999976</v>
      </c>
      <c r="F7" s="9">
        <f>SUM('Mountaineer:Charles Town'!F7)</f>
        <v>291625.08999999997</v>
      </c>
      <c r="G7" s="9">
        <f>SUM('Mountaineer:Charles Town'!G7)</f>
        <v>0</v>
      </c>
      <c r="H7" s="9">
        <f>SUM('Mountaineer:Charles Town'!H7)</f>
        <v>6999002.5999999978</v>
      </c>
      <c r="I7" s="9">
        <f>SUM('Mountaineer:Charles Town'!I7)</f>
        <v>0</v>
      </c>
      <c r="J7" s="9">
        <f>SUM('Mountaineer:Charles Town'!J7)</f>
        <v>0</v>
      </c>
      <c r="K7" s="9">
        <f>SUM('Mountaineer:Charles Town'!K7)</f>
        <v>0</v>
      </c>
      <c r="L7" s="9">
        <f>SUM('Mountaineer:Charles Town'!L7)</f>
        <v>6999002.5999999978</v>
      </c>
      <c r="M7" s="9">
        <f>SUM('Mountaineer:Charles Town'!M7)</f>
        <v>3254536.21</v>
      </c>
      <c r="N7" s="9">
        <f>SUM('Mountaineer:Charles Town'!N7)</f>
        <v>2099700.7000000002</v>
      </c>
      <c r="O7" s="9">
        <f>SUM('Mountaineer:Charles Town'!O7)</f>
        <v>899371.8600000001</v>
      </c>
      <c r="P7" s="9">
        <f>SUM('Mountaineer:Charles Town'!P7)</f>
        <v>440937.17</v>
      </c>
      <c r="Q7" s="9">
        <f>SUM('Mountaineer:Charles Town'!Q7)</f>
        <v>69990.040000000008</v>
      </c>
      <c r="R7" s="9">
        <f>SUM('Mountaineer:Charles Town'!R7)</f>
        <v>47243.270000000004</v>
      </c>
      <c r="S7" s="9">
        <f>SUM('Mountaineer:Charles Town'!S7)</f>
        <v>47243.270000000004</v>
      </c>
      <c r="T7" s="9">
        <f>SUM('Mountaineer:Charles Town'!T7)</f>
        <v>139980.08000000002</v>
      </c>
      <c r="U7" s="9">
        <f>SUM('Mountaineer:Charles Town'!U7)</f>
        <v>0</v>
      </c>
      <c r="V7" s="9">
        <f>SUM('Mountaineer:Charles Town'!V7)</f>
        <v>10133.966712591126</v>
      </c>
      <c r="W7" s="7">
        <f>SUM('Mountaineer:Charles Town'!W7)</f>
        <v>2710</v>
      </c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</row>
    <row r="8" spans="1:96" ht="15" customHeight="1" x14ac:dyDescent="0.25">
      <c r="A8" s="8">
        <f>Mountaineer!A8</f>
        <v>44030</v>
      </c>
      <c r="B8" s="9">
        <f>SUM('Mountaineer:Charles Town'!B8)</f>
        <v>74569912.050000012</v>
      </c>
      <c r="C8" s="9">
        <f>SUM('Mountaineer:Charles Town'!C8)</f>
        <v>66968195.590000004</v>
      </c>
      <c r="D8" s="9">
        <f>SUM('Mountaineer:Charles Town'!D8)</f>
        <v>1123647.4100000001</v>
      </c>
      <c r="E8" s="9">
        <f>SUM('Mountaineer:Charles Town'!E8)</f>
        <v>6478069.0500000026</v>
      </c>
      <c r="F8" s="9">
        <f>SUM('Mountaineer:Charles Town'!F8)</f>
        <v>259122.76</v>
      </c>
      <c r="G8" s="9">
        <f>SUM('Mountaineer:Charles Town'!G8)</f>
        <v>0</v>
      </c>
      <c r="H8" s="9">
        <f>SUM('Mountaineer:Charles Town'!H8)</f>
        <v>6218946.2900000028</v>
      </c>
      <c r="I8" s="9">
        <f>SUM('Mountaineer:Charles Town'!I8)</f>
        <v>0</v>
      </c>
      <c r="J8" s="9">
        <f>SUM('Mountaineer:Charles Town'!J8)</f>
        <v>0</v>
      </c>
      <c r="K8" s="9">
        <f>SUM('Mountaineer:Charles Town'!K8)</f>
        <v>0</v>
      </c>
      <c r="L8" s="9">
        <f>SUM('Mountaineer:Charles Town'!L8)</f>
        <v>6218946.2900000028</v>
      </c>
      <c r="M8" s="9">
        <f>SUM('Mountaineer:Charles Town'!M8)</f>
        <v>2891810.02</v>
      </c>
      <c r="N8" s="9">
        <f>SUM('Mountaineer:Charles Town'!N8)</f>
        <v>1865683.8900000001</v>
      </c>
      <c r="O8" s="9">
        <f>SUM('Mountaineer:Charles Town'!O8)</f>
        <v>799134.6</v>
      </c>
      <c r="P8" s="9">
        <f>SUM('Mountaineer:Charles Town'!P8)</f>
        <v>391793.62</v>
      </c>
      <c r="Q8" s="9">
        <f>SUM('Mountaineer:Charles Town'!Q8)</f>
        <v>62189.46</v>
      </c>
      <c r="R8" s="9">
        <f>SUM('Mountaineer:Charles Town'!R8)</f>
        <v>41977.89</v>
      </c>
      <c r="S8" s="9">
        <f>SUM('Mountaineer:Charles Town'!S8)</f>
        <v>41977.89</v>
      </c>
      <c r="T8" s="9">
        <f>SUM('Mountaineer:Charles Town'!T8)</f>
        <v>124378.92000000001</v>
      </c>
      <c r="U8" s="9">
        <f>SUM('Mountaineer:Charles Town'!U8)</f>
        <v>0</v>
      </c>
      <c r="V8" s="9">
        <f>SUM('Mountaineer:Charles Town'!V8)</f>
        <v>8841.916704108211</v>
      </c>
      <c r="W8" s="7">
        <f>SUM('Mountaineer:Charles Town'!W8)</f>
        <v>2770</v>
      </c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</row>
    <row r="9" spans="1:96" ht="15" customHeight="1" x14ac:dyDescent="0.25">
      <c r="A9" s="8">
        <f>Mountaineer!A9</f>
        <v>44037</v>
      </c>
      <c r="B9" s="9">
        <f>SUM('Mountaineer:Charles Town'!B9)</f>
        <v>81847172.090000004</v>
      </c>
      <c r="C9" s="9">
        <f>SUM('Mountaineer:Charles Town'!C9)</f>
        <v>73358220.24000001</v>
      </c>
      <c r="D9" s="9">
        <f>SUM('Mountaineer:Charles Town'!D9)</f>
        <v>1120945.51</v>
      </c>
      <c r="E9" s="9">
        <f>SUM('Mountaineer:Charles Town'!E9)</f>
        <v>7368006.3399999989</v>
      </c>
      <c r="F9" s="9">
        <f>SUM('Mountaineer:Charles Town'!F9)</f>
        <v>294720.27</v>
      </c>
      <c r="G9" s="9">
        <f>SUM('Mountaineer:Charles Town'!G9)</f>
        <v>0</v>
      </c>
      <c r="H9" s="9">
        <f>SUM('Mountaineer:Charles Town'!H9)</f>
        <v>7073286.0699999984</v>
      </c>
      <c r="I9" s="9">
        <f>SUM('Mountaineer:Charles Town'!I9)</f>
        <v>0</v>
      </c>
      <c r="J9" s="9">
        <f>SUM('Mountaineer:Charles Town'!J9)</f>
        <v>0</v>
      </c>
      <c r="K9" s="9">
        <f>SUM('Mountaineer:Charles Town'!K9)</f>
        <v>0</v>
      </c>
      <c r="L9" s="9">
        <f>SUM('Mountaineer:Charles Town'!L9)</f>
        <v>7073286.0699999984</v>
      </c>
      <c r="M9" s="9">
        <f>SUM('Mountaineer:Charles Town'!M9)</f>
        <v>3289078.03</v>
      </c>
      <c r="N9" s="9">
        <f>SUM('Mountaineer:Charles Town'!N9)</f>
        <v>2121985.83</v>
      </c>
      <c r="O9" s="9">
        <f>SUM('Mountaineer:Charles Town'!O9)</f>
        <v>908917.23</v>
      </c>
      <c r="P9" s="9">
        <f>SUM('Mountaineer:Charles Town'!P9)</f>
        <v>445617.02</v>
      </c>
      <c r="Q9" s="9">
        <f>SUM('Mountaineer:Charles Town'!Q9)</f>
        <v>70732.86</v>
      </c>
      <c r="R9" s="9">
        <f>SUM('Mountaineer:Charles Town'!R9)</f>
        <v>47744.69</v>
      </c>
      <c r="S9" s="9">
        <f>SUM('Mountaineer:Charles Town'!S9)</f>
        <v>47744.69</v>
      </c>
      <c r="T9" s="9">
        <f>SUM('Mountaineer:Charles Town'!T9)</f>
        <v>141465.72</v>
      </c>
      <c r="U9" s="9">
        <f>SUM('Mountaineer:Charles Town'!U9)</f>
        <v>0</v>
      </c>
      <c r="V9" s="9">
        <f>SUM('Mountaineer:Charles Town'!V9)</f>
        <v>9517.5136689911378</v>
      </c>
      <c r="W9" s="7">
        <f>SUM('Mountaineer:Charles Town'!W9)</f>
        <v>2773</v>
      </c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</row>
    <row r="10" spans="1:96" ht="15" customHeight="1" x14ac:dyDescent="0.25">
      <c r="A10" s="8">
        <f>Mountaineer!A10</f>
        <v>44044</v>
      </c>
      <c r="B10" s="9">
        <f>SUM('Mountaineer:Charles Town'!B10)</f>
        <v>83616742.24000001</v>
      </c>
      <c r="C10" s="9">
        <f>SUM('Mountaineer:Charles Town'!C10)</f>
        <v>75210452.340000004</v>
      </c>
      <c r="D10" s="9">
        <f>SUM('Mountaineer:Charles Town'!D10)</f>
        <v>1085503.2</v>
      </c>
      <c r="E10" s="9">
        <f>SUM('Mountaineer:Charles Town'!E10)</f>
        <v>7320786.700000002</v>
      </c>
      <c r="F10" s="9">
        <f>SUM('Mountaineer:Charles Town'!F10)</f>
        <v>292831.45999999996</v>
      </c>
      <c r="G10" s="9">
        <f>SUM('Mountaineer:Charles Town'!G10)</f>
        <v>0</v>
      </c>
      <c r="H10" s="9">
        <f>SUM('Mountaineer:Charles Town'!H10)</f>
        <v>7027955.2400000021</v>
      </c>
      <c r="I10" s="9">
        <f>SUM('Mountaineer:Charles Town'!I10)</f>
        <v>0</v>
      </c>
      <c r="J10" s="9">
        <f>SUM('Mountaineer:Charles Town'!J10)</f>
        <v>0</v>
      </c>
      <c r="K10" s="9">
        <f>SUM('Mountaineer:Charles Town'!K10)</f>
        <v>0</v>
      </c>
      <c r="L10" s="9">
        <f>SUM('Mountaineer:Charles Town'!L10)</f>
        <v>7027955.2400000021</v>
      </c>
      <c r="M10" s="9">
        <f>SUM('Mountaineer:Charles Town'!M10)</f>
        <v>3267999.19</v>
      </c>
      <c r="N10" s="9">
        <f>SUM('Mountaineer:Charles Town'!N10)</f>
        <v>2108386.52</v>
      </c>
      <c r="O10" s="9">
        <f>SUM('Mountaineer:Charles Town'!O10)</f>
        <v>903092.28</v>
      </c>
      <c r="P10" s="9">
        <f>SUM('Mountaineer:Charles Town'!P10)</f>
        <v>442761.19</v>
      </c>
      <c r="Q10" s="9">
        <f>SUM('Mountaineer:Charles Town'!Q10)</f>
        <v>70279.56</v>
      </c>
      <c r="R10" s="9">
        <f>SUM('Mountaineer:Charles Town'!R10)</f>
        <v>47438.69</v>
      </c>
      <c r="S10" s="9">
        <f>SUM('Mountaineer:Charles Town'!S10)</f>
        <v>47438.69</v>
      </c>
      <c r="T10" s="9">
        <f>SUM('Mountaineer:Charles Town'!T10)</f>
        <v>140559.12</v>
      </c>
      <c r="U10" s="9">
        <f>SUM('Mountaineer:Charles Town'!U10)</f>
        <v>0</v>
      </c>
      <c r="V10" s="9">
        <f>SUM('Mountaineer:Charles Town'!V10)</f>
        <v>9539.8885725169039</v>
      </c>
      <c r="W10" s="7">
        <f>SUM('Mountaineer:Charles Town'!W10)</f>
        <v>2821</v>
      </c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</row>
    <row r="11" spans="1:96" ht="15" customHeight="1" x14ac:dyDescent="0.25">
      <c r="A11" s="8">
        <f>Mountaineer!A11</f>
        <v>44051</v>
      </c>
      <c r="B11" s="9">
        <f>SUM('Mountaineer:Charles Town'!B11)</f>
        <v>88507710.629999995</v>
      </c>
      <c r="C11" s="9">
        <f>SUM('Mountaineer:Charles Town'!C11)</f>
        <v>79448258.719999999</v>
      </c>
      <c r="D11" s="9">
        <f>SUM('Mountaineer:Charles Town'!D11)</f>
        <v>1343070.21</v>
      </c>
      <c r="E11" s="9">
        <f>SUM('Mountaineer:Charles Town'!E11)</f>
        <v>7716381.7000000002</v>
      </c>
      <c r="F11" s="9">
        <f>SUM('Mountaineer:Charles Town'!F11)</f>
        <v>308655.24</v>
      </c>
      <c r="G11" s="9">
        <f>SUM('Mountaineer:Charles Town'!G11)</f>
        <v>0</v>
      </c>
      <c r="H11" s="9">
        <f>SUM('Mountaineer:Charles Town'!H11)</f>
        <v>7407726.4600000009</v>
      </c>
      <c r="I11" s="9">
        <f>SUM('Mountaineer:Charles Town'!I11)</f>
        <v>0</v>
      </c>
      <c r="J11" s="9">
        <f>SUM('Mountaineer:Charles Town'!J11)</f>
        <v>0</v>
      </c>
      <c r="K11" s="9">
        <f>SUM('Mountaineer:Charles Town'!K11)</f>
        <v>0</v>
      </c>
      <c r="L11" s="9">
        <f>SUM('Mountaineer:Charles Town'!L11)</f>
        <v>7407726.4600000009</v>
      </c>
      <c r="M11" s="9">
        <f>SUM('Mountaineer:Charles Town'!M11)</f>
        <v>3444592.8099999996</v>
      </c>
      <c r="N11" s="9">
        <f>SUM('Mountaineer:Charles Town'!N11)</f>
        <v>2222317.9699999997</v>
      </c>
      <c r="O11" s="9">
        <f>SUM('Mountaineer:Charles Town'!O11)</f>
        <v>951892.83</v>
      </c>
      <c r="P11" s="9">
        <f>SUM('Mountaineer:Charles Town'!P11)</f>
        <v>466686.77</v>
      </c>
      <c r="Q11" s="9">
        <f>SUM('Mountaineer:Charles Town'!Q11)</f>
        <v>74077.260000000009</v>
      </c>
      <c r="R11" s="9">
        <f>SUM('Mountaineer:Charles Town'!R11)</f>
        <v>50002.15</v>
      </c>
      <c r="S11" s="9">
        <f>SUM('Mountaineer:Charles Town'!S11)</f>
        <v>50002.15</v>
      </c>
      <c r="T11" s="9">
        <f>SUM('Mountaineer:Charles Town'!T11)</f>
        <v>148154.51999999999</v>
      </c>
      <c r="U11" s="9">
        <f>SUM('Mountaineer:Charles Town'!U11)</f>
        <v>0</v>
      </c>
      <c r="V11" s="9">
        <f>SUM('Mountaineer:Charles Town'!V11)</f>
        <v>9894.5477441724524</v>
      </c>
      <c r="W11" s="7">
        <f>SUM('Mountaineer:Charles Town'!W11)</f>
        <v>2864</v>
      </c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</row>
    <row r="12" spans="1:96" ht="15" customHeight="1" x14ac:dyDescent="0.25">
      <c r="A12" s="8">
        <f>Mountaineer!A12</f>
        <v>44058</v>
      </c>
      <c r="B12" s="9">
        <f>SUM('Mountaineer:Charles Town'!B12)</f>
        <v>91481356.060000002</v>
      </c>
      <c r="C12" s="9">
        <f>SUM('Mountaineer:Charles Town'!C12)</f>
        <v>82175277.390000001</v>
      </c>
      <c r="D12" s="9">
        <f>SUM('Mountaineer:Charles Town'!D12)</f>
        <v>1319778.54</v>
      </c>
      <c r="E12" s="9">
        <f>SUM('Mountaineer:Charles Town'!E12)</f>
        <v>7986300.129999998</v>
      </c>
      <c r="F12" s="9">
        <f>SUM('Mountaineer:Charles Town'!F12)</f>
        <v>319452.02</v>
      </c>
      <c r="G12" s="9">
        <f>SUM('Mountaineer:Charles Town'!G12)</f>
        <v>0</v>
      </c>
      <c r="H12" s="9">
        <f>SUM('Mountaineer:Charles Town'!H12)</f>
        <v>7666848.1099999975</v>
      </c>
      <c r="I12" s="9">
        <f>SUM('Mountaineer:Charles Town'!I12)</f>
        <v>0</v>
      </c>
      <c r="J12" s="9">
        <f>SUM('Mountaineer:Charles Town'!J12)</f>
        <v>0</v>
      </c>
      <c r="K12" s="9">
        <f>SUM('Mountaineer:Charles Town'!K12)</f>
        <v>0</v>
      </c>
      <c r="L12" s="9">
        <f>SUM('Mountaineer:Charles Town'!L12)</f>
        <v>7666848.1099999975</v>
      </c>
      <c r="M12" s="9">
        <f>SUM('Mountaineer:Charles Town'!M12)</f>
        <v>3565084.38</v>
      </c>
      <c r="N12" s="9">
        <f>SUM('Mountaineer:Charles Town'!N12)</f>
        <v>2300054.4299999997</v>
      </c>
      <c r="O12" s="9">
        <f>SUM('Mountaineer:Charles Town'!O12)</f>
        <v>985189.96000000008</v>
      </c>
      <c r="P12" s="9">
        <f>SUM('Mountaineer:Charles Town'!P12)</f>
        <v>483011.44</v>
      </c>
      <c r="Q12" s="9">
        <f>SUM('Mountaineer:Charles Town'!Q12)</f>
        <v>76668.48000000001</v>
      </c>
      <c r="R12" s="9">
        <f>SUM('Mountaineer:Charles Town'!R12)</f>
        <v>51751.23</v>
      </c>
      <c r="S12" s="9">
        <f>SUM('Mountaineer:Charles Town'!S12)</f>
        <v>51751.23</v>
      </c>
      <c r="T12" s="9">
        <f>SUM('Mountaineer:Charles Town'!T12)</f>
        <v>153336.95999999999</v>
      </c>
      <c r="U12" s="9">
        <f>SUM('Mountaineer:Charles Town'!U12)</f>
        <v>0</v>
      </c>
      <c r="V12" s="9">
        <f>SUM('Mountaineer:Charles Town'!V12)</f>
        <v>9878.9131742295449</v>
      </c>
      <c r="W12" s="7">
        <f>SUM('Mountaineer:Charles Town'!W12)</f>
        <v>2940</v>
      </c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</row>
    <row r="13" spans="1:96" ht="15" customHeight="1" x14ac:dyDescent="0.25">
      <c r="A13" s="8">
        <f>Mountaineer!A13</f>
        <v>44065</v>
      </c>
      <c r="B13" s="9">
        <f>SUM('Mountaineer:Charles Town'!B13)</f>
        <v>87094986.439999998</v>
      </c>
      <c r="C13" s="9">
        <f>SUM('Mountaineer:Charles Town'!C13)</f>
        <v>77901258.469999999</v>
      </c>
      <c r="D13" s="9">
        <f>SUM('Mountaineer:Charles Town'!D13)</f>
        <v>1327219.7</v>
      </c>
      <c r="E13" s="9">
        <f>SUM('Mountaineer:Charles Town'!E13)</f>
        <v>7866508.2700000033</v>
      </c>
      <c r="F13" s="9">
        <f>SUM('Mountaineer:Charles Town'!F13)</f>
        <v>314660.31</v>
      </c>
      <c r="G13" s="9">
        <f>SUM('Mountaineer:Charles Town'!G13)</f>
        <v>0</v>
      </c>
      <c r="H13" s="9">
        <f>SUM('Mountaineer:Charles Town'!H13)</f>
        <v>7551847.9600000037</v>
      </c>
      <c r="I13" s="9">
        <f>SUM('Mountaineer:Charles Town'!I13)</f>
        <v>0</v>
      </c>
      <c r="J13" s="9">
        <f>SUM('Mountaineer:Charles Town'!J13)</f>
        <v>0</v>
      </c>
      <c r="K13" s="9">
        <f>SUM('Mountaineer:Charles Town'!K13)</f>
        <v>0</v>
      </c>
      <c r="L13" s="9">
        <f>SUM('Mountaineer:Charles Town'!L13)</f>
        <v>7551847.9600000037</v>
      </c>
      <c r="M13" s="9">
        <f>SUM('Mountaineer:Charles Town'!M13)</f>
        <v>3511609.31</v>
      </c>
      <c r="N13" s="9">
        <f>SUM('Mountaineer:Charles Town'!N13)</f>
        <v>2265554.37</v>
      </c>
      <c r="O13" s="9">
        <f>SUM('Mountaineer:Charles Town'!O13)</f>
        <v>970412.46</v>
      </c>
      <c r="P13" s="9">
        <f>SUM('Mountaineer:Charles Town'!P13)</f>
        <v>475766.42000000004</v>
      </c>
      <c r="Q13" s="9">
        <f>SUM('Mountaineer:Charles Town'!Q13)</f>
        <v>75518.48000000001</v>
      </c>
      <c r="R13" s="9">
        <f>SUM('Mountaineer:Charles Town'!R13)</f>
        <v>50974.979999999996</v>
      </c>
      <c r="S13" s="9">
        <f>SUM('Mountaineer:Charles Town'!S13)</f>
        <v>50974.979999999996</v>
      </c>
      <c r="T13" s="9">
        <f>SUM('Mountaineer:Charles Town'!T13)</f>
        <v>151036.96000000002</v>
      </c>
      <c r="U13" s="9">
        <f>SUM('Mountaineer:Charles Town'!U13)</f>
        <v>0</v>
      </c>
      <c r="V13" s="9">
        <f>SUM('Mountaineer:Charles Town'!V13)</f>
        <v>9170.9560218669212</v>
      </c>
      <c r="W13" s="7">
        <f>SUM('Mountaineer:Charles Town'!W13)</f>
        <v>3079</v>
      </c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</row>
    <row r="14" spans="1:96" ht="15" customHeight="1" x14ac:dyDescent="0.25">
      <c r="A14" s="8">
        <f>Mountaineer!A14</f>
        <v>44072</v>
      </c>
      <c r="B14" s="9">
        <f>SUM('Mountaineer:Charles Town'!B14)</f>
        <v>89639516.879999995</v>
      </c>
      <c r="C14" s="9">
        <f>SUM('Mountaineer:Charles Town'!C14)</f>
        <v>80372577.289999992</v>
      </c>
      <c r="D14" s="9">
        <f>SUM('Mountaineer:Charles Town'!D14)</f>
        <v>1301987.1499999999</v>
      </c>
      <c r="E14" s="9">
        <f>SUM('Mountaineer:Charles Town'!E14)</f>
        <v>7964952.4399999939</v>
      </c>
      <c r="F14" s="9">
        <f>SUM('Mountaineer:Charles Town'!F14)</f>
        <v>318598.09999999998</v>
      </c>
      <c r="G14" s="9">
        <f>SUM('Mountaineer:Charles Town'!G14)</f>
        <v>0</v>
      </c>
      <c r="H14" s="9">
        <f>SUM('Mountaineer:Charles Town'!H14)</f>
        <v>7646354.3399999943</v>
      </c>
      <c r="I14" s="9">
        <f>SUM('Mountaineer:Charles Town'!I14)</f>
        <v>0</v>
      </c>
      <c r="J14" s="9">
        <f>SUM('Mountaineer:Charles Town'!J14)</f>
        <v>0</v>
      </c>
      <c r="K14" s="9">
        <f>SUM('Mountaineer:Charles Town'!K14)</f>
        <v>0</v>
      </c>
      <c r="L14" s="9">
        <f>SUM('Mountaineer:Charles Town'!L14)</f>
        <v>7646354.3399999943</v>
      </c>
      <c r="M14" s="9">
        <f>SUM('Mountaineer:Charles Town'!M14)</f>
        <v>3555554.76</v>
      </c>
      <c r="N14" s="9">
        <f>SUM('Mountaineer:Charles Town'!N14)</f>
        <v>2293906.35</v>
      </c>
      <c r="O14" s="9">
        <f>SUM('Mountaineer:Charles Town'!O14)</f>
        <v>982556.51</v>
      </c>
      <c r="P14" s="9">
        <f>SUM('Mountaineer:Charles Town'!P14)</f>
        <v>481720.32000000001</v>
      </c>
      <c r="Q14" s="9">
        <f>SUM('Mountaineer:Charles Town'!Q14)</f>
        <v>76463.540000000008</v>
      </c>
      <c r="R14" s="9">
        <f>SUM('Mountaineer:Charles Town'!R14)</f>
        <v>51612.89</v>
      </c>
      <c r="S14" s="9">
        <f>SUM('Mountaineer:Charles Town'!S14)</f>
        <v>51612.89</v>
      </c>
      <c r="T14" s="9">
        <f>SUM('Mountaineer:Charles Town'!T14)</f>
        <v>152927.08000000002</v>
      </c>
      <c r="U14" s="9">
        <f>SUM('Mountaineer:Charles Town'!U14)</f>
        <v>0</v>
      </c>
      <c r="V14" s="9">
        <f>SUM('Mountaineer:Charles Town'!V14)</f>
        <v>9058.9414258538236</v>
      </c>
      <c r="W14" s="7">
        <f>SUM('Mountaineer:Charles Town'!W14)</f>
        <v>3216</v>
      </c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</row>
    <row r="15" spans="1:96" ht="15" customHeight="1" x14ac:dyDescent="0.25">
      <c r="A15" s="8">
        <f>Mountaineer!A15</f>
        <v>44079</v>
      </c>
      <c r="B15" s="9">
        <f>SUM('Mountaineer:Charles Town'!B15)</f>
        <v>91131891.120000005</v>
      </c>
      <c r="C15" s="9">
        <f>SUM('Mountaineer:Charles Town'!C15)</f>
        <v>81926739.25</v>
      </c>
      <c r="D15" s="9">
        <f>SUM('Mountaineer:Charles Town'!D15)</f>
        <v>1405344.13</v>
      </c>
      <c r="E15" s="9">
        <f>SUM('Mountaineer:Charles Town'!E15)</f>
        <v>7799807.7399999974</v>
      </c>
      <c r="F15" s="9">
        <f>SUM('Mountaineer:Charles Town'!F15)</f>
        <v>311992.30000000005</v>
      </c>
      <c r="G15" s="9">
        <f>SUM('Mountaineer:Charles Town'!G15)</f>
        <v>0</v>
      </c>
      <c r="H15" s="9">
        <f>SUM('Mountaineer:Charles Town'!H15)</f>
        <v>7487815.4399999976</v>
      </c>
      <c r="I15" s="9">
        <f>SUM('Mountaineer:Charles Town'!I15)</f>
        <v>0</v>
      </c>
      <c r="J15" s="9">
        <f>SUM('Mountaineer:Charles Town'!J15)</f>
        <v>0</v>
      </c>
      <c r="K15" s="9">
        <f>SUM('Mountaineer:Charles Town'!K15)</f>
        <v>0</v>
      </c>
      <c r="L15" s="9">
        <f>SUM('Mountaineer:Charles Town'!L15)</f>
        <v>7487815.4399999976</v>
      </c>
      <c r="M15" s="9">
        <f>SUM('Mountaineer:Charles Town'!M15)</f>
        <v>3481834.1799999997</v>
      </c>
      <c r="N15" s="9">
        <f>SUM('Mountaineer:Charles Town'!N15)</f>
        <v>2246344.6</v>
      </c>
      <c r="O15" s="9">
        <f>SUM('Mountaineer:Charles Town'!O15)</f>
        <v>962184.31</v>
      </c>
      <c r="P15" s="9">
        <f>SUM('Mountaineer:Charles Town'!P15)</f>
        <v>471732.37</v>
      </c>
      <c r="Q15" s="9">
        <f>SUM('Mountaineer:Charles Town'!Q15)</f>
        <v>74878.16</v>
      </c>
      <c r="R15" s="9">
        <f>SUM('Mountaineer:Charles Town'!R15)</f>
        <v>50542.75</v>
      </c>
      <c r="S15" s="9">
        <f>SUM('Mountaineer:Charles Town'!S15)</f>
        <v>50542.75</v>
      </c>
      <c r="T15" s="9">
        <f>SUM('Mountaineer:Charles Town'!T15)</f>
        <v>149756.32</v>
      </c>
      <c r="U15" s="9">
        <f>SUM('Mountaineer:Charles Town'!U15)</f>
        <v>0</v>
      </c>
      <c r="V15" s="9">
        <f>SUM('Mountaineer:Charles Town'!V15)</f>
        <v>8581.5120650992521</v>
      </c>
      <c r="W15" s="7">
        <f>SUM('Mountaineer:Charles Town'!W15)</f>
        <v>3293</v>
      </c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</row>
    <row r="16" spans="1:96" ht="15" customHeight="1" x14ac:dyDescent="0.25">
      <c r="A16" s="8">
        <f>Mountaineer!A16</f>
        <v>44086</v>
      </c>
      <c r="B16" s="9">
        <f>SUM('Mountaineer:Charles Town'!B16)</f>
        <v>99089092.680000007</v>
      </c>
      <c r="C16" s="9">
        <f>SUM('Mountaineer:Charles Town'!C16)</f>
        <v>89013638.539999992</v>
      </c>
      <c r="D16" s="9">
        <f>SUM('Mountaineer:Charles Town'!D16)</f>
        <v>1464494.9100000001</v>
      </c>
      <c r="E16" s="9">
        <f>SUM('Mountaineer:Charles Town'!E16)</f>
        <v>8610959.2300000023</v>
      </c>
      <c r="F16" s="9">
        <f>SUM('Mountaineer:Charles Town'!F16)</f>
        <v>344438.36</v>
      </c>
      <c r="G16" s="9">
        <f>SUM('Mountaineer:Charles Town'!G16)</f>
        <v>0</v>
      </c>
      <c r="H16" s="9">
        <f>SUM('Mountaineer:Charles Town'!H16)</f>
        <v>8266520.8700000029</v>
      </c>
      <c r="I16" s="9">
        <f>SUM('Mountaineer:Charles Town'!I16)</f>
        <v>0</v>
      </c>
      <c r="J16" s="9">
        <f>SUM('Mountaineer:Charles Town'!J16)</f>
        <v>0</v>
      </c>
      <c r="K16" s="9">
        <f>SUM('Mountaineer:Charles Town'!K16)</f>
        <v>0</v>
      </c>
      <c r="L16" s="9">
        <f>SUM('Mountaineer:Charles Town'!L16)</f>
        <v>8266520.8700000029</v>
      </c>
      <c r="M16" s="9">
        <f>SUM('Mountaineer:Charles Town'!M16)</f>
        <v>3843932.21</v>
      </c>
      <c r="N16" s="9">
        <f>SUM('Mountaineer:Charles Town'!N16)</f>
        <v>2479956.08</v>
      </c>
      <c r="O16" s="9">
        <f>SUM('Mountaineer:Charles Town'!O16)</f>
        <v>1062248</v>
      </c>
      <c r="P16" s="9">
        <f>SUM('Mountaineer:Charles Town'!P16)</f>
        <v>520790.81999999995</v>
      </c>
      <c r="Q16" s="9">
        <f>SUM('Mountaineer:Charles Town'!Q16)</f>
        <v>82665.240000000005</v>
      </c>
      <c r="R16" s="9">
        <f>SUM('Mountaineer:Charles Town'!R16)</f>
        <v>55799.02</v>
      </c>
      <c r="S16" s="9">
        <f>SUM('Mountaineer:Charles Town'!S16)</f>
        <v>55799.02</v>
      </c>
      <c r="T16" s="9">
        <f>SUM('Mountaineer:Charles Town'!T16)</f>
        <v>165330.47999999998</v>
      </c>
      <c r="U16" s="9">
        <f>SUM('Mountaineer:Charles Town'!U16)</f>
        <v>0</v>
      </c>
      <c r="V16" s="9">
        <f>SUM('Mountaineer:Charles Town'!V16)</f>
        <v>9359.3931176813458</v>
      </c>
      <c r="W16" s="7">
        <f>SUM('Mountaineer:Charles Town'!W16)</f>
        <v>3365</v>
      </c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</row>
    <row r="17" spans="1:96" ht="15" customHeight="1" x14ac:dyDescent="0.25">
      <c r="A17" s="8">
        <f>Mountaineer!A17</f>
        <v>44093</v>
      </c>
      <c r="B17" s="9">
        <f>SUM('Mountaineer:Charles Town'!B17)</f>
        <v>87848245.520000011</v>
      </c>
      <c r="C17" s="9">
        <f>SUM('Mountaineer:Charles Town'!C17)</f>
        <v>78945237.25999999</v>
      </c>
      <c r="D17" s="9">
        <f>SUM('Mountaineer:Charles Town'!D17)</f>
        <v>1291054.75</v>
      </c>
      <c r="E17" s="9">
        <f>SUM('Mountaineer:Charles Town'!E17)</f>
        <v>7611953.5100000016</v>
      </c>
      <c r="F17" s="9">
        <f>SUM('Mountaineer:Charles Town'!F17)</f>
        <v>304478.16000000003</v>
      </c>
      <c r="G17" s="9">
        <f>SUM('Mountaineer:Charles Town'!G17)</f>
        <v>0</v>
      </c>
      <c r="H17" s="9">
        <f>SUM('Mountaineer:Charles Town'!H17)</f>
        <v>7307475.3500000015</v>
      </c>
      <c r="I17" s="9">
        <f>SUM('Mountaineer:Charles Town'!I17)</f>
        <v>0</v>
      </c>
      <c r="J17" s="9">
        <f>SUM('Mountaineer:Charles Town'!J17)</f>
        <v>0</v>
      </c>
      <c r="K17" s="9">
        <f>SUM('Mountaineer:Charles Town'!K17)</f>
        <v>0</v>
      </c>
      <c r="L17" s="9">
        <f>SUM('Mountaineer:Charles Town'!L17)</f>
        <v>7307475.3500000015</v>
      </c>
      <c r="M17" s="9">
        <f>SUM('Mountaineer:Charles Town'!M17)</f>
        <v>3397976.03</v>
      </c>
      <c r="N17" s="9">
        <f>SUM('Mountaineer:Charles Town'!N17)</f>
        <v>2192242.5699999998</v>
      </c>
      <c r="O17" s="9">
        <f>SUM('Mountaineer:Charles Town'!O17)</f>
        <v>939010.58000000007</v>
      </c>
      <c r="P17" s="9">
        <f>SUM('Mountaineer:Charles Town'!P17)</f>
        <v>460370.95</v>
      </c>
      <c r="Q17" s="9">
        <f>SUM('Mountaineer:Charles Town'!Q17)</f>
        <v>73074.760000000009</v>
      </c>
      <c r="R17" s="9">
        <f>SUM('Mountaineer:Charles Town'!R17)</f>
        <v>49325.47</v>
      </c>
      <c r="S17" s="9">
        <f>SUM('Mountaineer:Charles Town'!S17)</f>
        <v>49325.47</v>
      </c>
      <c r="T17" s="9">
        <f>SUM('Mountaineer:Charles Town'!T17)</f>
        <v>144388.26</v>
      </c>
      <c r="U17" s="9">
        <f>SUM('Mountaineer:Charles Town'!U17)</f>
        <v>1761.26</v>
      </c>
      <c r="V17" s="9">
        <f>SUM('Mountaineer:Charles Town'!V17)</f>
        <v>8323.2337384707262</v>
      </c>
      <c r="W17" s="7">
        <f>SUM('Mountaineer:Charles Town'!W17)</f>
        <v>3353</v>
      </c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</row>
    <row r="18" spans="1:96" ht="15" customHeight="1" x14ac:dyDescent="0.25">
      <c r="A18" s="8">
        <f>Mountaineer!A18</f>
        <v>44100</v>
      </c>
      <c r="B18" s="9">
        <f>SUM('Mountaineer:Charles Town'!B18)</f>
        <v>88210265.060000002</v>
      </c>
      <c r="C18" s="9">
        <f>SUM('Mountaineer:Charles Town'!C18)</f>
        <v>79211409.650000006</v>
      </c>
      <c r="D18" s="9">
        <f>SUM('Mountaineer:Charles Town'!D18)</f>
        <v>1333815.78</v>
      </c>
      <c r="E18" s="9">
        <f>SUM('Mountaineer:Charles Town'!E18)</f>
        <v>7665039.6299999999</v>
      </c>
      <c r="F18" s="9">
        <f>SUM('Mountaineer:Charles Town'!F18)</f>
        <v>306601.56999999995</v>
      </c>
      <c r="G18" s="9">
        <f>SUM('Mountaineer:Charles Town'!G18)</f>
        <v>0</v>
      </c>
      <c r="H18" s="9">
        <f>SUM('Mountaineer:Charles Town'!H18)</f>
        <v>7358438.0600000005</v>
      </c>
      <c r="I18" s="9">
        <f>SUM('Mountaineer:Charles Town'!I18)</f>
        <v>0</v>
      </c>
      <c r="J18" s="9">
        <f>SUM('Mountaineer:Charles Town'!J18)</f>
        <v>0</v>
      </c>
      <c r="K18" s="9">
        <f>SUM('Mountaineer:Charles Town'!K18)</f>
        <v>0</v>
      </c>
      <c r="L18" s="9">
        <f>SUM('Mountaineer:Charles Town'!L18)</f>
        <v>7358438.0600000005</v>
      </c>
      <c r="M18" s="9">
        <f>SUM('Mountaineer:Charles Town'!M18)</f>
        <v>3421673.69</v>
      </c>
      <c r="N18" s="9">
        <f>SUM('Mountaineer:Charles Town'!N18)</f>
        <v>2207531.44</v>
      </c>
      <c r="O18" s="9">
        <f>SUM('Mountaineer:Charles Town'!O18)</f>
        <v>945559.27</v>
      </c>
      <c r="P18" s="9">
        <f>SUM('Mountaineer:Charles Town'!P18)</f>
        <v>463581.6</v>
      </c>
      <c r="Q18" s="9">
        <f>SUM('Mountaineer:Charles Town'!Q18)</f>
        <v>73584.38</v>
      </c>
      <c r="R18" s="9">
        <f>SUM('Mountaineer:Charles Town'!R18)</f>
        <v>49669.46</v>
      </c>
      <c r="S18" s="9">
        <f>SUM('Mountaineer:Charles Town'!S18)</f>
        <v>49669.46</v>
      </c>
      <c r="T18" s="9">
        <f>SUM('Mountaineer:Charles Town'!T18)</f>
        <v>107966.28</v>
      </c>
      <c r="U18" s="9">
        <f>SUM('Mountaineer:Charles Town'!U18)</f>
        <v>39202.480000000003</v>
      </c>
      <c r="V18" s="9">
        <f>SUM('Mountaineer:Charles Town'!V18)</f>
        <v>8444.1831985483077</v>
      </c>
      <c r="W18" s="7">
        <f>SUM('Mountaineer:Charles Town'!W18)</f>
        <v>3307</v>
      </c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</row>
    <row r="19" spans="1:96" ht="15" customHeight="1" x14ac:dyDescent="0.25">
      <c r="A19" s="8">
        <f>Mountaineer!A19</f>
        <v>44107</v>
      </c>
      <c r="B19" s="9">
        <f>SUM('Mountaineer:Charles Town'!B19)</f>
        <v>87534944.840000004</v>
      </c>
      <c r="C19" s="9">
        <f>SUM('Mountaineer:Charles Town'!C19)</f>
        <v>78559461.50999999</v>
      </c>
      <c r="D19" s="9">
        <f>SUM('Mountaineer:Charles Town'!D19)</f>
        <v>1286511.48</v>
      </c>
      <c r="E19" s="9">
        <f>SUM('Mountaineer:Charles Town'!E19)</f>
        <v>7688971.8499999996</v>
      </c>
      <c r="F19" s="9">
        <f>SUM('Mountaineer:Charles Town'!F19)</f>
        <v>307558.87</v>
      </c>
      <c r="G19" s="9">
        <f>SUM('Mountaineer:Charles Town'!G19)</f>
        <v>0</v>
      </c>
      <c r="H19" s="9">
        <f>SUM('Mountaineer:Charles Town'!H19)</f>
        <v>7381412.9800000004</v>
      </c>
      <c r="I19" s="9">
        <f>SUM('Mountaineer:Charles Town'!I19)</f>
        <v>0</v>
      </c>
      <c r="J19" s="9">
        <f>SUM('Mountaineer:Charles Town'!J19)</f>
        <v>0</v>
      </c>
      <c r="K19" s="9">
        <f>SUM('Mountaineer:Charles Town'!K19)</f>
        <v>0</v>
      </c>
      <c r="L19" s="9">
        <f>SUM('Mountaineer:Charles Town'!L19)</f>
        <v>7381412.9800000004</v>
      </c>
      <c r="M19" s="9">
        <f>SUM('Mountaineer:Charles Town'!M19)</f>
        <v>3432357.0300000003</v>
      </c>
      <c r="N19" s="9">
        <f>SUM('Mountaineer:Charles Town'!N19)</f>
        <v>2214423.96</v>
      </c>
      <c r="O19" s="9">
        <f>SUM('Mountaineer:Charles Town'!O19)</f>
        <v>948511.55</v>
      </c>
      <c r="P19" s="9">
        <f>SUM('Mountaineer:Charles Town'!P19)</f>
        <v>465029.02</v>
      </c>
      <c r="Q19" s="9">
        <f>SUM('Mountaineer:Charles Town'!Q19)</f>
        <v>73814.12</v>
      </c>
      <c r="R19" s="9">
        <f>SUM('Mountaineer:Charles Town'!R19)</f>
        <v>49824.53</v>
      </c>
      <c r="S19" s="9">
        <f>SUM('Mountaineer:Charles Town'!S19)</f>
        <v>49824.53</v>
      </c>
      <c r="T19" s="9">
        <f>SUM('Mountaineer:Charles Town'!T19)</f>
        <v>108491.69500000001</v>
      </c>
      <c r="U19" s="9">
        <f>SUM('Mountaineer:Charles Town'!U19)</f>
        <v>39136.535000000003</v>
      </c>
      <c r="V19" s="9">
        <f>SUM('Mountaineer:Charles Town'!V19)</f>
        <v>8888.0969254327665</v>
      </c>
      <c r="W19" s="7">
        <f>SUM('Mountaineer:Charles Town'!W19)</f>
        <v>3223</v>
      </c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</row>
    <row r="20" spans="1:96" ht="15" customHeight="1" x14ac:dyDescent="0.25">
      <c r="A20" s="8">
        <f>Mountaineer!A20</f>
        <v>44114</v>
      </c>
      <c r="B20" s="9">
        <f>SUM('Mountaineer:Charles Town'!B20)</f>
        <v>85900310.840000004</v>
      </c>
      <c r="C20" s="9">
        <f>SUM('Mountaineer:Charles Town'!C20)</f>
        <v>77006189.400000006</v>
      </c>
      <c r="D20" s="9">
        <f>SUM('Mountaineer:Charles Town'!D20)</f>
        <v>1233335.77</v>
      </c>
      <c r="E20" s="9">
        <f>SUM('Mountaineer:Charles Town'!E20)</f>
        <v>7660785.6700000018</v>
      </c>
      <c r="F20" s="9">
        <f>SUM('Mountaineer:Charles Town'!F20)</f>
        <v>306431.46000000002</v>
      </c>
      <c r="G20" s="9">
        <f>SUM('Mountaineer:Charles Town'!G20)</f>
        <v>0</v>
      </c>
      <c r="H20" s="9">
        <f>SUM('Mountaineer:Charles Town'!H20)</f>
        <v>7354354.2100000028</v>
      </c>
      <c r="I20" s="9">
        <f>SUM('Mountaineer:Charles Town'!I20)</f>
        <v>0</v>
      </c>
      <c r="J20" s="9">
        <f>SUM('Mountaineer:Charles Town'!J20)</f>
        <v>0</v>
      </c>
      <c r="K20" s="9">
        <f>SUM('Mountaineer:Charles Town'!K20)</f>
        <v>0</v>
      </c>
      <c r="L20" s="9">
        <f>SUM('Mountaineer:Charles Town'!L20)</f>
        <v>7354354.2100000028</v>
      </c>
      <c r="M20" s="9">
        <f>SUM('Mountaineer:Charles Town'!M20)</f>
        <v>3419774.71</v>
      </c>
      <c r="N20" s="9">
        <f>SUM('Mountaineer:Charles Town'!N20)</f>
        <v>2206306.1799999997</v>
      </c>
      <c r="O20" s="9">
        <f>SUM('Mountaineer:Charles Town'!O20)</f>
        <v>945034.56</v>
      </c>
      <c r="P20" s="9">
        <f>SUM('Mountaineer:Charles Town'!P20)</f>
        <v>463324.32</v>
      </c>
      <c r="Q20" s="9">
        <f>SUM('Mountaineer:Charles Town'!Q20)</f>
        <v>73543.56</v>
      </c>
      <c r="R20" s="9">
        <f>SUM('Mountaineer:Charles Town'!R20)</f>
        <v>49641.880000000005</v>
      </c>
      <c r="S20" s="9">
        <f>SUM('Mountaineer:Charles Town'!S20)</f>
        <v>49641.880000000005</v>
      </c>
      <c r="T20" s="9">
        <f>SUM('Mountaineer:Charles Town'!T20)</f>
        <v>105340.035</v>
      </c>
      <c r="U20" s="9">
        <f>SUM('Mountaineer:Charles Town'!U20)</f>
        <v>41747.074999999997</v>
      </c>
      <c r="V20" s="9">
        <f>SUM('Mountaineer:Charles Town'!V20)</f>
        <v>8768.1395280248871</v>
      </c>
      <c r="W20" s="7">
        <f>SUM('Mountaineer:Charles Town'!W20)</f>
        <v>3202</v>
      </c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</row>
    <row r="21" spans="1:96" ht="15" customHeight="1" x14ac:dyDescent="0.25">
      <c r="A21" s="8">
        <f>Mountaineer!A21</f>
        <v>44121</v>
      </c>
      <c r="B21" s="9">
        <f>SUM('Mountaineer:Charles Town'!B21)</f>
        <v>88913391.189999998</v>
      </c>
      <c r="C21" s="9">
        <f>SUM('Mountaineer:Charles Town'!C21)</f>
        <v>79952951.949999988</v>
      </c>
      <c r="D21" s="9">
        <f>SUM('Mountaineer:Charles Town'!D21)</f>
        <v>1260839.1099999999</v>
      </c>
      <c r="E21" s="9">
        <f>SUM('Mountaineer:Charles Town'!E21)</f>
        <v>7699600.1300000101</v>
      </c>
      <c r="F21" s="9">
        <f>SUM('Mountaineer:Charles Town'!F21)</f>
        <v>307984.05000000005</v>
      </c>
      <c r="G21" s="9">
        <f>SUM('Mountaineer:Charles Town'!G21)</f>
        <v>0</v>
      </c>
      <c r="H21" s="9">
        <f>SUM('Mountaineer:Charles Town'!H21)</f>
        <v>7391616.0800000103</v>
      </c>
      <c r="I21" s="9">
        <f>SUM('Mountaineer:Charles Town'!I21)</f>
        <v>0</v>
      </c>
      <c r="J21" s="9">
        <f>SUM('Mountaineer:Charles Town'!J21)</f>
        <v>0</v>
      </c>
      <c r="K21" s="9">
        <f>SUM('Mountaineer:Charles Town'!K21)</f>
        <v>0</v>
      </c>
      <c r="L21" s="9">
        <f>SUM('Mountaineer:Charles Town'!L21)</f>
        <v>7391616.0800000103</v>
      </c>
      <c r="M21" s="9">
        <f>SUM('Mountaineer:Charles Town'!M21)</f>
        <v>3437101.4800000004</v>
      </c>
      <c r="N21" s="9">
        <f>SUM('Mountaineer:Charles Town'!N21)</f>
        <v>2217484.92</v>
      </c>
      <c r="O21" s="9">
        <f>SUM('Mountaineer:Charles Town'!O21)</f>
        <v>949822.62000000011</v>
      </c>
      <c r="P21" s="9">
        <f>SUM('Mountaineer:Charles Town'!P21)</f>
        <v>465671.82000000007</v>
      </c>
      <c r="Q21" s="9">
        <f>SUM('Mountaineer:Charles Town'!Q21)</f>
        <v>73916.14</v>
      </c>
      <c r="R21" s="9">
        <f>SUM('Mountaineer:Charles Town'!R21)</f>
        <v>49893.41</v>
      </c>
      <c r="S21" s="9">
        <f>SUM('Mountaineer:Charles Town'!S21)</f>
        <v>49893.41</v>
      </c>
      <c r="T21" s="9">
        <f>SUM('Mountaineer:Charles Town'!T21)</f>
        <v>107777.56299999999</v>
      </c>
      <c r="U21" s="9">
        <f>SUM('Mountaineer:Charles Town'!U21)</f>
        <v>40054.723000000005</v>
      </c>
      <c r="V21" s="9">
        <f>SUM('Mountaineer:Charles Town'!V21)</f>
        <v>8827.3604325266242</v>
      </c>
      <c r="W21" s="7">
        <f>SUM('Mountaineer:Charles Town'!W21)</f>
        <v>3225</v>
      </c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</row>
    <row r="22" spans="1:96" ht="15" customHeight="1" x14ac:dyDescent="0.25">
      <c r="A22" s="8">
        <f>Mountaineer!A22</f>
        <v>44128</v>
      </c>
      <c r="B22" s="9">
        <f>SUM('Mountaineer:Charles Town'!B22)</f>
        <v>85143945.530000001</v>
      </c>
      <c r="C22" s="9">
        <f>SUM('Mountaineer:Charles Town'!C22)</f>
        <v>76239684.890000001</v>
      </c>
      <c r="D22" s="9">
        <f>SUM('Mountaineer:Charles Town'!D22)</f>
        <v>1317241.96</v>
      </c>
      <c r="E22" s="9">
        <f>SUM('Mountaineer:Charles Town'!E22)</f>
        <v>7587018.6799999969</v>
      </c>
      <c r="F22" s="9">
        <f>SUM('Mountaineer:Charles Town'!F22)</f>
        <v>303480.77</v>
      </c>
      <c r="G22" s="9">
        <f>SUM('Mountaineer:Charles Town'!G22)</f>
        <v>0</v>
      </c>
      <c r="H22" s="9">
        <f>SUM('Mountaineer:Charles Town'!H22)</f>
        <v>7283537.9099999964</v>
      </c>
      <c r="I22" s="9">
        <f>SUM('Mountaineer:Charles Town'!I22)</f>
        <v>0</v>
      </c>
      <c r="J22" s="9">
        <f>SUM('Mountaineer:Charles Town'!J22)</f>
        <v>0</v>
      </c>
      <c r="K22" s="9">
        <f>SUM('Mountaineer:Charles Town'!K22)</f>
        <v>0</v>
      </c>
      <c r="L22" s="9">
        <f>SUM('Mountaineer:Charles Town'!L22)</f>
        <v>7283537.9099999964</v>
      </c>
      <c r="M22" s="9">
        <f>SUM('Mountaineer:Charles Town'!M22)</f>
        <v>3386845.13</v>
      </c>
      <c r="N22" s="9">
        <f>SUM('Mountaineer:Charles Town'!N22)</f>
        <v>2185061.34</v>
      </c>
      <c r="O22" s="9">
        <f>SUM('Mountaineer:Charles Town'!O22)</f>
        <v>935934.64999999991</v>
      </c>
      <c r="P22" s="9">
        <f>SUM('Mountaineer:Charles Town'!P22)</f>
        <v>458862.89</v>
      </c>
      <c r="Q22" s="9">
        <f>SUM('Mountaineer:Charles Town'!Q22)</f>
        <v>72835.38</v>
      </c>
      <c r="R22" s="9">
        <f>SUM('Mountaineer:Charles Town'!R22)</f>
        <v>49163.880000000005</v>
      </c>
      <c r="S22" s="9">
        <f>SUM('Mountaineer:Charles Town'!S22)</f>
        <v>49163.880000000005</v>
      </c>
      <c r="T22" s="9">
        <f>SUM('Mountaineer:Charles Town'!T22)</f>
        <v>105589.68</v>
      </c>
      <c r="U22" s="9">
        <f>SUM('Mountaineer:Charles Town'!U22)</f>
        <v>40081.08</v>
      </c>
      <c r="V22" s="9">
        <f>SUM('Mountaineer:Charles Town'!V22)</f>
        <v>8353.0214874346821</v>
      </c>
      <c r="W22" s="7">
        <f>SUM('Mountaineer:Charles Town'!W22)</f>
        <v>3307</v>
      </c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</row>
    <row r="23" spans="1:96" ht="15" customHeight="1" x14ac:dyDescent="0.25">
      <c r="A23" s="8">
        <f>Mountaineer!A23</f>
        <v>44135</v>
      </c>
      <c r="B23" s="9">
        <f>SUM('Mountaineer:Charles Town'!B23)</f>
        <v>86855592.139999986</v>
      </c>
      <c r="C23" s="9">
        <f>SUM('Mountaineer:Charles Town'!C23)</f>
        <v>77747248.299999997</v>
      </c>
      <c r="D23" s="9">
        <f>SUM('Mountaineer:Charles Town'!D23)</f>
        <v>1289016</v>
      </c>
      <c r="E23" s="9">
        <f>SUM('Mountaineer:Charles Town'!E23)</f>
        <v>7819327.8400000008</v>
      </c>
      <c r="F23" s="9">
        <f>SUM('Mountaineer:Charles Town'!F23)</f>
        <v>312773.13</v>
      </c>
      <c r="G23" s="9">
        <f>SUM('Mountaineer:Charles Town'!G23)</f>
        <v>0</v>
      </c>
      <c r="H23" s="9">
        <f>SUM('Mountaineer:Charles Town'!H23)</f>
        <v>7506554.7100000009</v>
      </c>
      <c r="I23" s="9">
        <f>SUM('Mountaineer:Charles Town'!I23)</f>
        <v>0</v>
      </c>
      <c r="J23" s="9">
        <f>SUM('Mountaineer:Charles Town'!J23)</f>
        <v>0</v>
      </c>
      <c r="K23" s="9">
        <f>SUM('Mountaineer:Charles Town'!K23)</f>
        <v>0</v>
      </c>
      <c r="L23" s="9">
        <f>SUM('Mountaineer:Charles Town'!L23)</f>
        <v>7506554.7100000009</v>
      </c>
      <c r="M23" s="9">
        <f>SUM('Mountaineer:Charles Town'!M23)</f>
        <v>3490547.9400000004</v>
      </c>
      <c r="N23" s="9">
        <f>SUM('Mountaineer:Charles Town'!N23)</f>
        <v>2251966.4700000002</v>
      </c>
      <c r="O23" s="9">
        <f>SUM('Mountaineer:Charles Town'!O23)</f>
        <v>964592.24</v>
      </c>
      <c r="P23" s="9">
        <f>SUM('Mountaineer:Charles Town'!P23)</f>
        <v>472912.93999999994</v>
      </c>
      <c r="Q23" s="9">
        <f>SUM('Mountaineer:Charles Town'!Q23)</f>
        <v>75065.539999999994</v>
      </c>
      <c r="R23" s="9">
        <f>SUM('Mountaineer:Charles Town'!R23)</f>
        <v>50669.25</v>
      </c>
      <c r="S23" s="9">
        <f>SUM('Mountaineer:Charles Town'!S23)</f>
        <v>50669.25</v>
      </c>
      <c r="T23" s="9">
        <f>SUM('Mountaineer:Charles Town'!T23)</f>
        <v>107591.1</v>
      </c>
      <c r="U23" s="9">
        <f>SUM('Mountaineer:Charles Town'!U23)</f>
        <v>42539.98</v>
      </c>
      <c r="V23" s="9">
        <f>SUM('Mountaineer:Charles Town'!V23)</f>
        <v>8449.6566056423326</v>
      </c>
      <c r="W23" s="7">
        <f>SUM('Mountaineer:Charles Town'!W23)</f>
        <v>3336</v>
      </c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</row>
    <row r="24" spans="1:96" ht="15" customHeight="1" x14ac:dyDescent="0.25">
      <c r="A24" s="8">
        <f>Mountaineer!A24</f>
        <v>44142</v>
      </c>
      <c r="B24" s="9">
        <f>SUM('Mountaineer:Charles Town'!B24)</f>
        <v>81221943.819999993</v>
      </c>
      <c r="C24" s="9">
        <f>SUM('Mountaineer:Charles Town'!C24)</f>
        <v>72955937.609999999</v>
      </c>
      <c r="D24" s="9">
        <f>SUM('Mountaineer:Charles Town'!D24)</f>
        <v>1155574.74</v>
      </c>
      <c r="E24" s="9">
        <f>SUM('Mountaineer:Charles Town'!E24)</f>
        <v>7110431.4699999969</v>
      </c>
      <c r="F24" s="9">
        <f>SUM('Mountaineer:Charles Town'!F24)</f>
        <v>284417.27999999997</v>
      </c>
      <c r="G24" s="9">
        <f>SUM('Mountaineer:Charles Town'!G24)</f>
        <v>0</v>
      </c>
      <c r="H24" s="9">
        <f>SUM('Mountaineer:Charles Town'!H24)</f>
        <v>6826014.1899999967</v>
      </c>
      <c r="I24" s="9">
        <f>SUM('Mountaineer:Charles Town'!I24)</f>
        <v>0</v>
      </c>
      <c r="J24" s="9">
        <f>SUM('Mountaineer:Charles Town'!J24)</f>
        <v>0</v>
      </c>
      <c r="K24" s="9">
        <f>SUM('Mountaineer:Charles Town'!K24)</f>
        <v>0</v>
      </c>
      <c r="L24" s="9">
        <f>SUM('Mountaineer:Charles Town'!L24)</f>
        <v>6826014.1899999967</v>
      </c>
      <c r="M24" s="9">
        <f>SUM('Mountaineer:Charles Town'!M24)</f>
        <v>3174096.59</v>
      </c>
      <c r="N24" s="9">
        <f>SUM('Mountaineer:Charles Town'!N24)</f>
        <v>2047804.2800000003</v>
      </c>
      <c r="O24" s="9">
        <f>SUM('Mountaineer:Charles Town'!O24)</f>
        <v>877142.79999999993</v>
      </c>
      <c r="P24" s="9">
        <f>SUM('Mountaineer:Charles Town'!P24)</f>
        <v>430038.9</v>
      </c>
      <c r="Q24" s="9">
        <f>SUM('Mountaineer:Charles Town'!Q24)</f>
        <v>68260.14</v>
      </c>
      <c r="R24" s="9">
        <f>SUM('Mountaineer:Charles Town'!R24)</f>
        <v>46075.6</v>
      </c>
      <c r="S24" s="9">
        <f>SUM('Mountaineer:Charles Town'!S24)</f>
        <v>46075.6</v>
      </c>
      <c r="T24" s="9">
        <f>SUM('Mountaineer:Charles Town'!T24)</f>
        <v>97866.700000000012</v>
      </c>
      <c r="U24" s="9">
        <f>SUM('Mountaineer:Charles Town'!U24)</f>
        <v>38653.58</v>
      </c>
      <c r="V24" s="9">
        <f>SUM('Mountaineer:Charles Town'!V24)</f>
        <v>7608.4274669504866</v>
      </c>
      <c r="W24" s="7">
        <f>SUM('Mountaineer:Charles Town'!W24)</f>
        <v>3359</v>
      </c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</row>
    <row r="25" spans="1:96" ht="15" customHeight="1" x14ac:dyDescent="0.25">
      <c r="A25" s="8">
        <f>Mountaineer!A25</f>
        <v>44149</v>
      </c>
      <c r="B25" s="9">
        <f>SUM('Mountaineer:Charles Town'!B25)</f>
        <v>80053479.960000008</v>
      </c>
      <c r="C25" s="9">
        <f>SUM('Mountaineer:Charles Town'!C25)</f>
        <v>71796717.24000001</v>
      </c>
      <c r="D25" s="9">
        <f>SUM('Mountaineer:Charles Town'!D25)</f>
        <v>1127585.27</v>
      </c>
      <c r="E25" s="9">
        <f>SUM('Mountaineer:Charles Town'!E25)</f>
        <v>7129177.4499999993</v>
      </c>
      <c r="F25" s="9">
        <f>SUM('Mountaineer:Charles Town'!F25)</f>
        <v>285167.08999999997</v>
      </c>
      <c r="G25" s="9">
        <f>SUM('Mountaineer:Charles Town'!G25)</f>
        <v>0</v>
      </c>
      <c r="H25" s="9">
        <f>SUM('Mountaineer:Charles Town'!H25)</f>
        <v>6844010.3599999994</v>
      </c>
      <c r="I25" s="9">
        <f>SUM('Mountaineer:Charles Town'!I25)</f>
        <v>0</v>
      </c>
      <c r="J25" s="9">
        <f>SUM('Mountaineer:Charles Town'!J25)</f>
        <v>0</v>
      </c>
      <c r="K25" s="9">
        <f>SUM('Mountaineer:Charles Town'!K25)</f>
        <v>0</v>
      </c>
      <c r="L25" s="9">
        <f>SUM('Mountaineer:Charles Town'!L25)</f>
        <v>6844010.3599999994</v>
      </c>
      <c r="M25" s="9">
        <f>SUM('Mountaineer:Charles Town'!M25)</f>
        <v>3182464.83</v>
      </c>
      <c r="N25" s="9">
        <f>SUM('Mountaineer:Charles Town'!N25)</f>
        <v>2053203.2199999997</v>
      </c>
      <c r="O25" s="9">
        <f>SUM('Mountaineer:Charles Town'!O25)</f>
        <v>879455.28</v>
      </c>
      <c r="P25" s="9">
        <f>SUM('Mountaineer:Charles Town'!P25)</f>
        <v>431172.65</v>
      </c>
      <c r="Q25" s="9">
        <f>SUM('Mountaineer:Charles Town'!Q25)</f>
        <v>68440.08</v>
      </c>
      <c r="R25" s="9">
        <f>SUM('Mountaineer:Charles Town'!R25)</f>
        <v>46197.070000000007</v>
      </c>
      <c r="S25" s="9">
        <f>SUM('Mountaineer:Charles Town'!S25)</f>
        <v>46197.070000000007</v>
      </c>
      <c r="T25" s="9">
        <f>SUM('Mountaineer:Charles Town'!T25)</f>
        <v>98273.782999999996</v>
      </c>
      <c r="U25" s="9">
        <f>SUM('Mountaineer:Charles Town'!U25)</f>
        <v>38606.383000000002</v>
      </c>
      <c r="V25" s="9">
        <f>SUM('Mountaineer:Charles Town'!V25)</f>
        <v>7599.1925787826667</v>
      </c>
      <c r="W25" s="7">
        <f>SUM('Mountaineer:Charles Town'!W25)</f>
        <v>3412</v>
      </c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</row>
    <row r="26" spans="1:96" ht="15" customHeight="1" x14ac:dyDescent="0.25">
      <c r="A26" s="8">
        <f>Mountaineer!A26</f>
        <v>44156</v>
      </c>
      <c r="B26" s="9">
        <f>SUM('Mountaineer:Charles Town'!B26)</f>
        <v>62624137.929999992</v>
      </c>
      <c r="C26" s="9">
        <f>SUM('Mountaineer:Charles Town'!C26)</f>
        <v>56396243.829999998</v>
      </c>
      <c r="D26" s="9">
        <f>SUM('Mountaineer:Charles Town'!D26)</f>
        <v>1032871.96</v>
      </c>
      <c r="E26" s="9">
        <f>SUM('Mountaineer:Charles Town'!E26)</f>
        <v>5195022.1400000015</v>
      </c>
      <c r="F26" s="9">
        <f>SUM('Mountaineer:Charles Town'!F26)</f>
        <v>207800.87</v>
      </c>
      <c r="G26" s="9">
        <f>SUM('Mountaineer:Charles Town'!G26)</f>
        <v>0</v>
      </c>
      <c r="H26" s="9">
        <f>SUM('Mountaineer:Charles Town'!H26)</f>
        <v>4987221.2700000014</v>
      </c>
      <c r="I26" s="9">
        <f>SUM('Mountaineer:Charles Town'!I26)</f>
        <v>0</v>
      </c>
      <c r="J26" s="9">
        <f>SUM('Mountaineer:Charles Town'!J26)</f>
        <v>0</v>
      </c>
      <c r="K26" s="9">
        <f>SUM('Mountaineer:Charles Town'!K26)</f>
        <v>0</v>
      </c>
      <c r="L26" s="9">
        <f>SUM('Mountaineer:Charles Town'!L26)</f>
        <v>4987221.2700000014</v>
      </c>
      <c r="M26" s="9">
        <f>SUM('Mountaineer:Charles Town'!M26)</f>
        <v>2319057.8899999997</v>
      </c>
      <c r="N26" s="9">
        <f>SUM('Mountaineer:Charles Town'!N26)</f>
        <v>1496166.4500000002</v>
      </c>
      <c r="O26" s="9">
        <f>SUM('Mountaineer:Charles Town'!O26)</f>
        <v>640857.89</v>
      </c>
      <c r="P26" s="9">
        <f>SUM('Mountaineer:Charles Town'!P26)</f>
        <v>314194.94</v>
      </c>
      <c r="Q26" s="9">
        <f>SUM('Mountaineer:Charles Town'!Q26)</f>
        <v>49872.2</v>
      </c>
      <c r="R26" s="9">
        <f>SUM('Mountaineer:Charles Town'!R26)</f>
        <v>33663.75</v>
      </c>
      <c r="S26" s="9">
        <f>SUM('Mountaineer:Charles Town'!S26)</f>
        <v>33663.75</v>
      </c>
      <c r="T26" s="9">
        <f>SUM('Mountaineer:Charles Town'!T26)</f>
        <v>72273.86</v>
      </c>
      <c r="U26" s="9">
        <f>SUM('Mountaineer:Charles Town'!U26)</f>
        <v>27470.539999999997</v>
      </c>
      <c r="V26" s="9">
        <f>SUM('Mountaineer:Charles Town'!V26)</f>
        <v>5747.1160599833274</v>
      </c>
      <c r="W26" s="7">
        <f>SUM('Mountaineer:Charles Town'!W26)</f>
        <v>3390</v>
      </c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</row>
    <row r="27" spans="1:96" ht="15" customHeight="1" x14ac:dyDescent="0.25">
      <c r="A27" s="8">
        <f>Mountaineer!A27</f>
        <v>44163</v>
      </c>
      <c r="B27" s="9">
        <f>SUM('Mountaineer:Charles Town'!B27)</f>
        <v>67963780.069999993</v>
      </c>
      <c r="C27" s="9">
        <f>SUM('Mountaineer:Charles Town'!C27)</f>
        <v>61146346.099999994</v>
      </c>
      <c r="D27" s="9">
        <f>SUM('Mountaineer:Charles Town'!D27)</f>
        <v>982011.48</v>
      </c>
      <c r="E27" s="9">
        <f>SUM('Mountaineer:Charles Town'!E27)</f>
        <v>5835422.4900000021</v>
      </c>
      <c r="F27" s="9">
        <f>SUM('Mountaineer:Charles Town'!F27)</f>
        <v>233416.89</v>
      </c>
      <c r="G27" s="9">
        <f>SUM('Mountaineer:Charles Town'!G27)</f>
        <v>0</v>
      </c>
      <c r="H27" s="9">
        <f>SUM('Mountaineer:Charles Town'!H27)</f>
        <v>5602005.6000000024</v>
      </c>
      <c r="I27" s="9">
        <f>SUM('Mountaineer:Charles Town'!I27)</f>
        <v>0</v>
      </c>
      <c r="J27" s="9">
        <f>SUM('Mountaineer:Charles Town'!J27)</f>
        <v>0</v>
      </c>
      <c r="K27" s="9">
        <f>SUM('Mountaineer:Charles Town'!K27)</f>
        <v>0</v>
      </c>
      <c r="L27" s="9">
        <f>SUM('Mountaineer:Charles Town'!L27)</f>
        <v>5602005.6000000024</v>
      </c>
      <c r="M27" s="9">
        <f>SUM('Mountaineer:Charles Town'!M27)</f>
        <v>2604932.6</v>
      </c>
      <c r="N27" s="9">
        <f>SUM('Mountaineer:Charles Town'!N27)</f>
        <v>1680601.65</v>
      </c>
      <c r="O27" s="9">
        <f>SUM('Mountaineer:Charles Town'!O27)</f>
        <v>719857.73</v>
      </c>
      <c r="P27" s="9">
        <f>SUM('Mountaineer:Charles Town'!P27)</f>
        <v>352926.36</v>
      </c>
      <c r="Q27" s="9">
        <f>SUM('Mountaineer:Charles Town'!Q27)</f>
        <v>56020.06</v>
      </c>
      <c r="R27" s="9">
        <f>SUM('Mountaineer:Charles Town'!R27)</f>
        <v>37813.54</v>
      </c>
      <c r="S27" s="9">
        <f>SUM('Mountaineer:Charles Town'!S27)</f>
        <v>37813.54</v>
      </c>
      <c r="T27" s="9">
        <f>SUM('Mountaineer:Charles Town'!T27)</f>
        <v>81668.320000000007</v>
      </c>
      <c r="U27" s="9">
        <f>SUM('Mountaineer:Charles Town'!U27)</f>
        <v>30371.8</v>
      </c>
      <c r="V27" s="9">
        <f>SUM('Mountaineer:Charles Town'!V27)</f>
        <v>6390.5953066340917</v>
      </c>
      <c r="W27" s="7">
        <f>SUM('Mountaineer:Charles Town'!W27)</f>
        <v>3420</v>
      </c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</row>
    <row r="28" spans="1:96" ht="15" customHeight="1" x14ac:dyDescent="0.25">
      <c r="A28" s="8">
        <f>Mountaineer!A28</f>
        <v>44170</v>
      </c>
      <c r="B28" s="9">
        <f>SUM('Mountaineer:Charles Town'!B28)</f>
        <v>63219462</v>
      </c>
      <c r="C28" s="9">
        <f>SUM('Mountaineer:Charles Town'!C28)</f>
        <v>56896041.25</v>
      </c>
      <c r="D28" s="9">
        <f>SUM('Mountaineer:Charles Town'!D28)</f>
        <v>1051060.6600000001</v>
      </c>
      <c r="E28" s="9">
        <f>SUM('Mountaineer:Charles Town'!E28)</f>
        <v>5272360.09</v>
      </c>
      <c r="F28" s="9">
        <f>SUM('Mountaineer:Charles Town'!F28)</f>
        <v>210894.4</v>
      </c>
      <c r="G28" s="9">
        <f>SUM('Mountaineer:Charles Town'!G28)</f>
        <v>0</v>
      </c>
      <c r="H28" s="9">
        <f>SUM('Mountaineer:Charles Town'!H28)</f>
        <v>5061465.6899999995</v>
      </c>
      <c r="I28" s="9">
        <f>SUM('Mountaineer:Charles Town'!I28)</f>
        <v>0</v>
      </c>
      <c r="J28" s="9">
        <f>SUM('Mountaineer:Charles Town'!J28)</f>
        <v>0</v>
      </c>
      <c r="K28" s="9">
        <f>SUM('Mountaineer:Charles Town'!K28)</f>
        <v>0</v>
      </c>
      <c r="L28" s="9">
        <f>SUM('Mountaineer:Charles Town'!L28)</f>
        <v>5061465.6899999995</v>
      </c>
      <c r="M28" s="9">
        <f>SUM('Mountaineer:Charles Town'!M28)</f>
        <v>2353581.54</v>
      </c>
      <c r="N28" s="9">
        <f>SUM('Mountaineer:Charles Town'!N28)</f>
        <v>1518439.7000000002</v>
      </c>
      <c r="O28" s="9">
        <f>SUM('Mountaineer:Charles Town'!O28)</f>
        <v>650398.36</v>
      </c>
      <c r="P28" s="9">
        <f>SUM('Mountaineer:Charles Town'!P28)</f>
        <v>318872.33</v>
      </c>
      <c r="Q28" s="9">
        <f>SUM('Mountaineer:Charles Town'!Q28)</f>
        <v>50614.66</v>
      </c>
      <c r="R28" s="9">
        <f>SUM('Mountaineer:Charles Town'!R28)</f>
        <v>34164.89</v>
      </c>
      <c r="S28" s="9">
        <f>SUM('Mountaineer:Charles Town'!S28)</f>
        <v>34164.89</v>
      </c>
      <c r="T28" s="9">
        <f>SUM('Mountaineer:Charles Town'!T28)</f>
        <v>72125.640000000014</v>
      </c>
      <c r="U28" s="9">
        <f>SUM('Mountaineer:Charles Town'!U28)</f>
        <v>29103.68</v>
      </c>
      <c r="V28" s="9">
        <f>SUM('Mountaineer:Charles Town'!V28)</f>
        <v>5719.5700915042125</v>
      </c>
      <c r="W28" s="7">
        <f>SUM('Mountaineer:Charles Town'!W28)</f>
        <v>3375</v>
      </c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</row>
    <row r="29" spans="1:96" ht="15" customHeight="1" x14ac:dyDescent="0.25">
      <c r="A29" s="8">
        <f>Mountaineer!A29</f>
        <v>44177</v>
      </c>
      <c r="B29" s="9">
        <f>SUM('Mountaineer:Charles Town'!B29)</f>
        <v>64003661.489999995</v>
      </c>
      <c r="C29" s="9">
        <f>SUM('Mountaineer:Charles Town'!C29)</f>
        <v>57335507.179999992</v>
      </c>
      <c r="D29" s="9">
        <f>SUM('Mountaineer:Charles Town'!D29)</f>
        <v>1036018.26</v>
      </c>
      <c r="E29" s="9">
        <f>SUM('Mountaineer:Charles Town'!E29)</f>
        <v>5632136.049999997</v>
      </c>
      <c r="F29" s="9">
        <f>SUM('Mountaineer:Charles Town'!F29)</f>
        <v>225285.46000000002</v>
      </c>
      <c r="G29" s="9">
        <f>SUM('Mountaineer:Charles Town'!G29)</f>
        <v>0</v>
      </c>
      <c r="H29" s="9">
        <f>SUM('Mountaineer:Charles Town'!H29)</f>
        <v>5406850.5899999971</v>
      </c>
      <c r="I29" s="9">
        <f>SUM('Mountaineer:Charles Town'!I29)</f>
        <v>0</v>
      </c>
      <c r="J29" s="9">
        <f>SUM('Mountaineer:Charles Town'!J29)</f>
        <v>0</v>
      </c>
      <c r="K29" s="9">
        <f>SUM('Mountaineer:Charles Town'!K29)</f>
        <v>0</v>
      </c>
      <c r="L29" s="9">
        <f>SUM('Mountaineer:Charles Town'!L29)</f>
        <v>5406850.5899999971</v>
      </c>
      <c r="M29" s="9">
        <f>SUM('Mountaineer:Charles Town'!M29)</f>
        <v>2514185.5199999996</v>
      </c>
      <c r="N29" s="9">
        <f>SUM('Mountaineer:Charles Town'!N29)</f>
        <v>1622055.13</v>
      </c>
      <c r="O29" s="9">
        <f>SUM('Mountaineer:Charles Town'!O29)</f>
        <v>694780.32</v>
      </c>
      <c r="P29" s="9">
        <f>SUM('Mountaineer:Charles Town'!P29)</f>
        <v>340631.57999999996</v>
      </c>
      <c r="Q29" s="9">
        <f>SUM('Mountaineer:Charles Town'!Q29)</f>
        <v>54068.520000000004</v>
      </c>
      <c r="R29" s="9">
        <f>SUM('Mountaineer:Charles Town'!R29)</f>
        <v>36496.240000000005</v>
      </c>
      <c r="S29" s="9">
        <f>SUM('Mountaineer:Charles Town'!S29)</f>
        <v>36496.240000000005</v>
      </c>
      <c r="T29" s="9">
        <f>SUM('Mountaineer:Charles Town'!T29)</f>
        <v>80508.06</v>
      </c>
      <c r="U29" s="9">
        <f>SUM('Mountaineer:Charles Town'!U29)</f>
        <v>27628.98</v>
      </c>
      <c r="V29" s="9">
        <f>SUM('Mountaineer:Charles Town'!V29)</f>
        <v>6188.7019283705577</v>
      </c>
      <c r="W29" s="7">
        <f>SUM('Mountaineer:Charles Town'!W29)</f>
        <v>3425</v>
      </c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</row>
    <row r="30" spans="1:96" ht="15" customHeight="1" x14ac:dyDescent="0.25">
      <c r="A30" s="8">
        <f>Mountaineer!A30</f>
        <v>44184</v>
      </c>
      <c r="B30" s="9">
        <f>SUM('Mountaineer:Charles Town'!B30)</f>
        <v>62031775.030000001</v>
      </c>
      <c r="C30" s="9">
        <f>SUM('Mountaineer:Charles Town'!C30)</f>
        <v>55706095.840000004</v>
      </c>
      <c r="D30" s="9">
        <f>SUM('Mountaineer:Charles Town'!D30)</f>
        <v>948921.51</v>
      </c>
      <c r="E30" s="9">
        <f>SUM('Mountaineer:Charles Town'!E30)</f>
        <v>5376757.6800000006</v>
      </c>
      <c r="F30" s="9">
        <f>SUM('Mountaineer:Charles Town'!F30)</f>
        <v>215070.3</v>
      </c>
      <c r="G30" s="9">
        <f>SUM('Mountaineer:Charles Town'!G30)</f>
        <v>0</v>
      </c>
      <c r="H30" s="9">
        <f>SUM('Mountaineer:Charles Town'!H30)</f>
        <v>5161687.3800000008</v>
      </c>
      <c r="I30" s="9">
        <f>SUM('Mountaineer:Charles Town'!I30)</f>
        <v>0</v>
      </c>
      <c r="J30" s="9">
        <f>SUM('Mountaineer:Charles Town'!J30)</f>
        <v>0</v>
      </c>
      <c r="K30" s="9">
        <f>SUM('Mountaineer:Charles Town'!K30)</f>
        <v>0</v>
      </c>
      <c r="L30" s="9">
        <f>SUM('Mountaineer:Charles Town'!L30)</f>
        <v>5161687.3800000008</v>
      </c>
      <c r="M30" s="9">
        <f>SUM('Mountaineer:Charles Town'!M30)</f>
        <v>2400184.63</v>
      </c>
      <c r="N30" s="9">
        <f>SUM('Mountaineer:Charles Town'!N30)</f>
        <v>1548506.1600000001</v>
      </c>
      <c r="O30" s="9">
        <f>SUM('Mountaineer:Charles Town'!O30)</f>
        <v>663276.85</v>
      </c>
      <c r="P30" s="9">
        <f>SUM('Mountaineer:Charles Town'!P30)</f>
        <v>325186.31999999995</v>
      </c>
      <c r="Q30" s="9">
        <f>SUM('Mountaineer:Charles Town'!Q30)</f>
        <v>51616.88</v>
      </c>
      <c r="R30" s="9">
        <f>SUM('Mountaineer:Charles Town'!R30)</f>
        <v>34841.39</v>
      </c>
      <c r="S30" s="9">
        <f>SUM('Mountaineer:Charles Town'!S30)</f>
        <v>34841.39</v>
      </c>
      <c r="T30" s="9">
        <f>SUM('Mountaineer:Charles Town'!T30)</f>
        <v>79631.799999999988</v>
      </c>
      <c r="U30" s="9">
        <f>SUM('Mountaineer:Charles Town'!U30)</f>
        <v>23601.96</v>
      </c>
      <c r="V30" s="9">
        <f>SUM('Mountaineer:Charles Town'!V30)</f>
        <v>6023.9289332153485</v>
      </c>
      <c r="W30" s="7">
        <f>SUM('Mountaineer:Charles Town'!W30)</f>
        <v>3453</v>
      </c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</row>
    <row r="31" spans="1:96" ht="15" customHeight="1" x14ac:dyDescent="0.25">
      <c r="A31" s="8">
        <f>Mountaineer!A31</f>
        <v>44191</v>
      </c>
      <c r="B31" s="9">
        <f>SUM('Mountaineer:Charles Town'!B31)</f>
        <v>73639945.579999998</v>
      </c>
      <c r="C31" s="9">
        <f>SUM('Mountaineer:Charles Town'!C31)</f>
        <v>66153330.240000002</v>
      </c>
      <c r="D31" s="9">
        <f>SUM('Mountaineer:Charles Town'!D31)</f>
        <v>1082747.19</v>
      </c>
      <c r="E31" s="9">
        <f>SUM('Mountaineer:Charles Town'!E31)</f>
        <v>6403868.1500000004</v>
      </c>
      <c r="F31" s="9">
        <f>SUM('Mountaineer:Charles Town'!F31)</f>
        <v>256154.72000000003</v>
      </c>
      <c r="G31" s="9">
        <f>SUM('Mountaineer:Charles Town'!G31)</f>
        <v>0</v>
      </c>
      <c r="H31" s="9">
        <f>SUM('Mountaineer:Charles Town'!H31)</f>
        <v>6147713.4299999997</v>
      </c>
      <c r="I31" s="9">
        <f>SUM('Mountaineer:Charles Town'!I31)</f>
        <v>0</v>
      </c>
      <c r="J31" s="9">
        <f>SUM('Mountaineer:Charles Town'!J31)</f>
        <v>0</v>
      </c>
      <c r="K31" s="9">
        <f>SUM('Mountaineer:Charles Town'!K31)</f>
        <v>0</v>
      </c>
      <c r="L31" s="9">
        <f>SUM('Mountaineer:Charles Town'!L31)</f>
        <v>6147713.4299999997</v>
      </c>
      <c r="M31" s="9">
        <f>SUM('Mountaineer:Charles Town'!M31)</f>
        <v>2858686.75</v>
      </c>
      <c r="N31" s="9">
        <f>SUM('Mountaineer:Charles Town'!N31)</f>
        <v>1844314.08</v>
      </c>
      <c r="O31" s="9">
        <f>SUM('Mountaineer:Charles Town'!O31)</f>
        <v>789981.16999999993</v>
      </c>
      <c r="P31" s="9">
        <f>SUM('Mountaineer:Charles Town'!P31)</f>
        <v>387305.94999999995</v>
      </c>
      <c r="Q31" s="9">
        <f>SUM('Mountaineer:Charles Town'!Q31)</f>
        <v>61477.120000000003</v>
      </c>
      <c r="R31" s="9">
        <f>SUM('Mountaineer:Charles Town'!R31)</f>
        <v>41497.06</v>
      </c>
      <c r="S31" s="9">
        <f>SUM('Mountaineer:Charles Town'!S31)</f>
        <v>41497.06</v>
      </c>
      <c r="T31" s="9">
        <f>SUM('Mountaineer:Charles Town'!T31)</f>
        <v>90779.260000000009</v>
      </c>
      <c r="U31" s="9">
        <f>SUM('Mountaineer:Charles Town'!U31)</f>
        <v>32174.98</v>
      </c>
      <c r="V31" s="9">
        <f>SUM('Mountaineer:Charles Town'!V31)</f>
        <v>6615.0377105136686</v>
      </c>
      <c r="W31" s="7">
        <f>SUM('Mountaineer:Charles Town'!W31)</f>
        <v>3578</v>
      </c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</row>
    <row r="32" spans="1:96" ht="15" customHeight="1" x14ac:dyDescent="0.25">
      <c r="A32" s="8">
        <f>Mountaineer!A32</f>
        <v>44198</v>
      </c>
      <c r="B32" s="9">
        <f>SUM('Mountaineer:Charles Town'!B32)</f>
        <v>125536782.02000001</v>
      </c>
      <c r="C32" s="9">
        <f>SUM('Mountaineer:Charles Town'!C32)</f>
        <v>112342913.58000001</v>
      </c>
      <c r="D32" s="9">
        <f>SUM('Mountaineer:Charles Town'!D32)</f>
        <v>1662941.69</v>
      </c>
      <c r="E32" s="9">
        <f>SUM('Mountaineer:Charles Town'!E32)</f>
        <v>11530926.749999994</v>
      </c>
      <c r="F32" s="9">
        <f>SUM('Mountaineer:Charles Town'!F32)</f>
        <v>461237.11</v>
      </c>
      <c r="G32" s="9">
        <f>SUM('Mountaineer:Charles Town'!G32)</f>
        <v>0</v>
      </c>
      <c r="H32" s="9">
        <f>SUM('Mountaineer:Charles Town'!H32)</f>
        <v>11069689.639999993</v>
      </c>
      <c r="I32" s="9">
        <f>SUM('Mountaineer:Charles Town'!I32)</f>
        <v>0</v>
      </c>
      <c r="J32" s="9">
        <f>SUM('Mountaineer:Charles Town'!J32)</f>
        <v>0</v>
      </c>
      <c r="K32" s="9">
        <f>SUM('Mountaineer:Charles Town'!K32)</f>
        <v>0</v>
      </c>
      <c r="L32" s="9">
        <f>SUM('Mountaineer:Charles Town'!L32)</f>
        <v>11069689.639999993</v>
      </c>
      <c r="M32" s="9">
        <f>SUM('Mountaineer:Charles Town'!M32)</f>
        <v>5147405.68</v>
      </c>
      <c r="N32" s="9">
        <f>SUM('Mountaineer:Charles Town'!N32)</f>
        <v>3320906.95</v>
      </c>
      <c r="O32" s="9">
        <f>SUM('Mountaineer:Charles Town'!O32)</f>
        <v>1422455.13</v>
      </c>
      <c r="P32" s="9">
        <f>SUM('Mountaineer:Charles Town'!P32)</f>
        <v>697390.44</v>
      </c>
      <c r="Q32" s="9">
        <f>SUM('Mountaineer:Charles Town'!Q32)</f>
        <v>110696.88</v>
      </c>
      <c r="R32" s="9">
        <f>SUM('Mountaineer:Charles Town'!R32)</f>
        <v>74720.399999999994</v>
      </c>
      <c r="S32" s="9">
        <f>SUM('Mountaineer:Charles Town'!S32)</f>
        <v>74720.399999999994</v>
      </c>
      <c r="T32" s="9">
        <f>SUM('Mountaineer:Charles Town'!T32)</f>
        <v>176047.88</v>
      </c>
      <c r="U32" s="9">
        <f>SUM('Mountaineer:Charles Town'!U32)</f>
        <v>45345.88</v>
      </c>
      <c r="V32" s="9">
        <f>SUM('Mountaineer:Charles Town'!V32)</f>
        <v>12065.489282904706</v>
      </c>
      <c r="W32" s="7">
        <f>SUM('Mountaineer:Charles Town'!W32)</f>
        <v>3696</v>
      </c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</row>
    <row r="33" spans="1:96" ht="15" customHeight="1" x14ac:dyDescent="0.25">
      <c r="A33" s="8">
        <f>Mountaineer!A33</f>
        <v>44205</v>
      </c>
      <c r="B33" s="9">
        <f>SUM('Mountaineer:Charles Town'!B33)</f>
        <v>75144849.419999987</v>
      </c>
      <c r="C33" s="9">
        <f>SUM('Mountaineer:Charles Town'!C33)</f>
        <v>67672595.560000002</v>
      </c>
      <c r="D33" s="9">
        <f>SUM('Mountaineer:Charles Town'!D33)</f>
        <v>998899.29</v>
      </c>
      <c r="E33" s="9">
        <f>SUM('Mountaineer:Charles Town'!E33)</f>
        <v>6473354.5699999938</v>
      </c>
      <c r="F33" s="9">
        <f>SUM('Mountaineer:Charles Town'!F33)</f>
        <v>258934.19</v>
      </c>
      <c r="G33" s="9">
        <f>SUM('Mountaineer:Charles Town'!G33)</f>
        <v>0</v>
      </c>
      <c r="H33" s="9">
        <f>SUM('Mountaineer:Charles Town'!H33)</f>
        <v>6214420.3799999934</v>
      </c>
      <c r="I33" s="9">
        <f>SUM('Mountaineer:Charles Town'!I33)</f>
        <v>0</v>
      </c>
      <c r="J33" s="9">
        <f>SUM('Mountaineer:Charles Town'!J33)</f>
        <v>0</v>
      </c>
      <c r="K33" s="9">
        <f>SUM('Mountaineer:Charles Town'!K33)</f>
        <v>0</v>
      </c>
      <c r="L33" s="9">
        <f>SUM('Mountaineer:Charles Town'!L33)</f>
        <v>6214420.3799999934</v>
      </c>
      <c r="M33" s="9">
        <f>SUM('Mountaineer:Charles Town'!M33)</f>
        <v>2889705.48</v>
      </c>
      <c r="N33" s="9">
        <f>SUM('Mountaineer:Charles Town'!N33)</f>
        <v>1864326.03</v>
      </c>
      <c r="O33" s="9">
        <f>SUM('Mountaineer:Charles Town'!O33)</f>
        <v>798553.05999999994</v>
      </c>
      <c r="P33" s="9">
        <f>SUM('Mountaineer:Charles Town'!P33)</f>
        <v>391508.49</v>
      </c>
      <c r="Q33" s="9">
        <f>SUM('Mountaineer:Charles Town'!Q33)</f>
        <v>62144.22</v>
      </c>
      <c r="R33" s="9">
        <f>SUM('Mountaineer:Charles Town'!R33)</f>
        <v>41947.33</v>
      </c>
      <c r="S33" s="9">
        <f>SUM('Mountaineer:Charles Town'!S33)</f>
        <v>41947.33</v>
      </c>
      <c r="T33" s="9">
        <f>SUM('Mountaineer:Charles Town'!T33)</f>
        <v>95546.5</v>
      </c>
      <c r="U33" s="9">
        <f>SUM('Mountaineer:Charles Town'!U33)</f>
        <v>28741.94</v>
      </c>
      <c r="V33" s="9">
        <f>SUM('Mountaineer:Charles Town'!V33)</f>
        <v>6674.6906465733427</v>
      </c>
      <c r="W33" s="7">
        <f>SUM('Mountaineer:Charles Town'!W33)</f>
        <v>3697</v>
      </c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</row>
    <row r="34" spans="1:96" ht="15" customHeight="1" x14ac:dyDescent="0.25">
      <c r="A34" s="8">
        <f>Mountaineer!A34</f>
        <v>44212</v>
      </c>
      <c r="B34" s="9">
        <f>SUM('Mountaineer:Charles Town'!B34)</f>
        <v>75138480.590000004</v>
      </c>
      <c r="C34" s="9">
        <f>SUM('Mountaineer:Charles Town'!C34)</f>
        <v>67633086.819999993</v>
      </c>
      <c r="D34" s="9">
        <f>SUM('Mountaineer:Charles Town'!D34)</f>
        <v>1119346</v>
      </c>
      <c r="E34" s="9">
        <f>SUM('Mountaineer:Charles Town'!E34)</f>
        <v>6386047.7700000005</v>
      </c>
      <c r="F34" s="9">
        <f>SUM('Mountaineer:Charles Town'!F34)</f>
        <v>255441.90000000002</v>
      </c>
      <c r="G34" s="9">
        <f>SUM('Mountaineer:Charles Town'!G34)</f>
        <v>0</v>
      </c>
      <c r="H34" s="9">
        <f>SUM('Mountaineer:Charles Town'!H34)</f>
        <v>6130605.870000001</v>
      </c>
      <c r="I34" s="9">
        <f>SUM('Mountaineer:Charles Town'!I34)</f>
        <v>0</v>
      </c>
      <c r="J34" s="9">
        <f>SUM('Mountaineer:Charles Town'!J34)</f>
        <v>0</v>
      </c>
      <c r="K34" s="9">
        <f>SUM('Mountaineer:Charles Town'!K34)</f>
        <v>0</v>
      </c>
      <c r="L34" s="9">
        <f>SUM('Mountaineer:Charles Town'!L34)</f>
        <v>6130605.870000001</v>
      </c>
      <c r="M34" s="9">
        <f>SUM('Mountaineer:Charles Town'!M34)</f>
        <v>2850731.73</v>
      </c>
      <c r="N34" s="9">
        <f>SUM('Mountaineer:Charles Town'!N34)</f>
        <v>1839181.7599999998</v>
      </c>
      <c r="O34" s="9">
        <f>SUM('Mountaineer:Charles Town'!O34)</f>
        <v>787782.85000000009</v>
      </c>
      <c r="P34" s="9">
        <f>SUM('Mountaineer:Charles Town'!P34)</f>
        <v>386228.17</v>
      </c>
      <c r="Q34" s="9">
        <f>SUM('Mountaineer:Charles Town'!Q34)</f>
        <v>61306.06</v>
      </c>
      <c r="R34" s="9">
        <f>SUM('Mountaineer:Charles Town'!R34)</f>
        <v>41381.589999999997</v>
      </c>
      <c r="S34" s="9">
        <f>SUM('Mountaineer:Charles Town'!S34)</f>
        <v>41381.589999999997</v>
      </c>
      <c r="T34" s="9">
        <f>SUM('Mountaineer:Charles Town'!T34)</f>
        <v>92292</v>
      </c>
      <c r="U34" s="9">
        <f>SUM('Mountaineer:Charles Town'!U34)</f>
        <v>30320.12</v>
      </c>
      <c r="V34" s="9">
        <f>SUM('Mountaineer:Charles Town'!V34)</f>
        <v>6457.793530822174</v>
      </c>
      <c r="W34" s="7">
        <f>SUM('Mountaineer:Charles Town'!W34)</f>
        <v>3695</v>
      </c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</row>
    <row r="35" spans="1:96" ht="15" customHeight="1" x14ac:dyDescent="0.25">
      <c r="A35" s="8">
        <f>Mountaineer!A35</f>
        <v>44219</v>
      </c>
      <c r="B35" s="9">
        <f>SUM('Mountaineer:Charles Town'!B35)</f>
        <v>80132744.620000005</v>
      </c>
      <c r="C35" s="9">
        <f>SUM('Mountaineer:Charles Town'!C35)</f>
        <v>72139500.060000002</v>
      </c>
      <c r="D35" s="9">
        <f>SUM('Mountaineer:Charles Town'!D35)</f>
        <v>1179835.08</v>
      </c>
      <c r="E35" s="9">
        <f>SUM('Mountaineer:Charles Town'!E35)</f>
        <v>6813409.4799999986</v>
      </c>
      <c r="F35" s="9">
        <f>SUM('Mountaineer:Charles Town'!F35)</f>
        <v>272536.40000000002</v>
      </c>
      <c r="G35" s="9">
        <f>SUM('Mountaineer:Charles Town'!G35)</f>
        <v>0</v>
      </c>
      <c r="H35" s="9">
        <f>SUM('Mountaineer:Charles Town'!H35)</f>
        <v>6540873.0799999982</v>
      </c>
      <c r="I35" s="9">
        <f>SUM('Mountaineer:Charles Town'!I35)</f>
        <v>0</v>
      </c>
      <c r="J35" s="9">
        <f>SUM('Mountaineer:Charles Town'!J35)</f>
        <v>0</v>
      </c>
      <c r="K35" s="9">
        <f>SUM('Mountaineer:Charles Town'!K35)</f>
        <v>0</v>
      </c>
      <c r="L35" s="9">
        <f>SUM('Mountaineer:Charles Town'!L35)</f>
        <v>6540873.0799999982</v>
      </c>
      <c r="M35" s="9">
        <f>SUM('Mountaineer:Charles Town'!M35)</f>
        <v>3041505.98</v>
      </c>
      <c r="N35" s="9">
        <f>SUM('Mountaineer:Charles Town'!N35)</f>
        <v>1962261.98</v>
      </c>
      <c r="O35" s="9">
        <f>SUM('Mountaineer:Charles Town'!O35)</f>
        <v>840502.19000000006</v>
      </c>
      <c r="P35" s="9">
        <f>SUM('Mountaineer:Charles Town'!P35)</f>
        <v>412075.01</v>
      </c>
      <c r="Q35" s="9">
        <f>SUM('Mountaineer:Charles Town'!Q35)</f>
        <v>65408.72</v>
      </c>
      <c r="R35" s="9">
        <f>SUM('Mountaineer:Charles Town'!R35)</f>
        <v>44150.880000000005</v>
      </c>
      <c r="S35" s="9">
        <f>SUM('Mountaineer:Charles Town'!S35)</f>
        <v>44150.880000000005</v>
      </c>
      <c r="T35" s="9">
        <f>SUM('Mountaineer:Charles Town'!T35)</f>
        <v>96884.24000000002</v>
      </c>
      <c r="U35" s="9">
        <f>SUM('Mountaineer:Charles Town'!U35)</f>
        <v>33933.200000000004</v>
      </c>
      <c r="V35" s="9">
        <f>SUM('Mountaineer:Charles Town'!V35)</f>
        <v>6844.9580367363196</v>
      </c>
      <c r="W35" s="7">
        <f>SUM('Mountaineer:Charles Town'!W35)</f>
        <v>3702</v>
      </c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</row>
    <row r="36" spans="1:96" ht="15" customHeight="1" x14ac:dyDescent="0.25">
      <c r="A36" s="8">
        <f>Mountaineer!A36</f>
        <v>44226</v>
      </c>
      <c r="B36" s="9">
        <f>SUM('Mountaineer:Charles Town'!B36)</f>
        <v>76511662.800000012</v>
      </c>
      <c r="C36" s="9">
        <f>SUM('Mountaineer:Charles Town'!C36)</f>
        <v>68693545.439999998</v>
      </c>
      <c r="D36" s="9">
        <f>SUM('Mountaineer:Charles Town'!D36)</f>
        <v>1138840.1499999999</v>
      </c>
      <c r="E36" s="9">
        <f>SUM('Mountaineer:Charles Town'!E36)</f>
        <v>6679277.2100000028</v>
      </c>
      <c r="F36" s="9">
        <f>SUM('Mountaineer:Charles Town'!F36)</f>
        <v>267171.07999999996</v>
      </c>
      <c r="G36" s="9">
        <f>SUM('Mountaineer:Charles Town'!G36)</f>
        <v>0</v>
      </c>
      <c r="H36" s="9">
        <f>SUM('Mountaineer:Charles Town'!H36)</f>
        <v>6412106.1300000027</v>
      </c>
      <c r="I36" s="9">
        <f>SUM('Mountaineer:Charles Town'!I36)</f>
        <v>0</v>
      </c>
      <c r="J36" s="9">
        <f>SUM('Mountaineer:Charles Town'!J36)</f>
        <v>0</v>
      </c>
      <c r="K36" s="9">
        <f>SUM('Mountaineer:Charles Town'!K36)</f>
        <v>0</v>
      </c>
      <c r="L36" s="9">
        <f>SUM('Mountaineer:Charles Town'!L36)</f>
        <v>6412106.1300000027</v>
      </c>
      <c r="M36" s="9">
        <f>SUM('Mountaineer:Charles Town'!M36)</f>
        <v>2981629.35</v>
      </c>
      <c r="N36" s="9">
        <f>SUM('Mountaineer:Charles Town'!N36)</f>
        <v>1923631.83</v>
      </c>
      <c r="O36" s="9">
        <f>SUM('Mountaineer:Charles Town'!O36)</f>
        <v>823955.65999999992</v>
      </c>
      <c r="P36" s="9">
        <f>SUM('Mountaineer:Charles Town'!P36)</f>
        <v>403962.69</v>
      </c>
      <c r="Q36" s="9">
        <f>SUM('Mountaineer:Charles Town'!Q36)</f>
        <v>64121.06</v>
      </c>
      <c r="R36" s="9">
        <f>SUM('Mountaineer:Charles Town'!R36)</f>
        <v>43281.709999999992</v>
      </c>
      <c r="S36" s="9">
        <f>SUM('Mountaineer:Charles Town'!S36)</f>
        <v>43281.709999999992</v>
      </c>
      <c r="T36" s="9">
        <f>SUM('Mountaineer:Charles Town'!T36)</f>
        <v>95899.48</v>
      </c>
      <c r="U36" s="9">
        <f>SUM('Mountaineer:Charles Town'!U36)</f>
        <v>32342.639999999999</v>
      </c>
      <c r="V36" s="9">
        <f>SUM('Mountaineer:Charles Town'!V36)</f>
        <v>6781.1344739087508</v>
      </c>
      <c r="W36" s="7">
        <f>SUM('Mountaineer:Charles Town'!W36)</f>
        <v>3687</v>
      </c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</row>
    <row r="37" spans="1:96" ht="15" customHeight="1" x14ac:dyDescent="0.25">
      <c r="A37" s="8">
        <f>Mountaineer!A37</f>
        <v>44233</v>
      </c>
      <c r="B37" s="9">
        <f>SUM('Mountaineer:Charles Town'!B37)</f>
        <v>73370373.810000002</v>
      </c>
      <c r="C37" s="9">
        <f>SUM('Mountaineer:Charles Town'!C37)</f>
        <v>66099892.240000002</v>
      </c>
      <c r="D37" s="9">
        <f>SUM('Mountaineer:Charles Town'!D37)</f>
        <v>1155850.48</v>
      </c>
      <c r="E37" s="9">
        <f>SUM('Mountaineer:Charles Town'!E37)</f>
        <v>6114631.089999998</v>
      </c>
      <c r="F37" s="9">
        <f>SUM('Mountaineer:Charles Town'!F37)</f>
        <v>244585.24</v>
      </c>
      <c r="G37" s="9">
        <f>SUM('Mountaineer:Charles Town'!G37)</f>
        <v>0</v>
      </c>
      <c r="H37" s="9">
        <f>SUM('Mountaineer:Charles Town'!H37)</f>
        <v>5870045.8499999987</v>
      </c>
      <c r="I37" s="9">
        <f>SUM('Mountaineer:Charles Town'!I37)</f>
        <v>0</v>
      </c>
      <c r="J37" s="9">
        <f>SUM('Mountaineer:Charles Town'!J37)</f>
        <v>0</v>
      </c>
      <c r="K37" s="9">
        <f>SUM('Mountaineer:Charles Town'!K37)</f>
        <v>0</v>
      </c>
      <c r="L37" s="9">
        <f>SUM('Mountaineer:Charles Town'!L37)</f>
        <v>5870045.8499999987</v>
      </c>
      <c r="M37" s="9">
        <f>SUM('Mountaineer:Charles Town'!M37)</f>
        <v>2729571.32</v>
      </c>
      <c r="N37" s="9">
        <f>SUM('Mountaineer:Charles Town'!N37)</f>
        <v>1761013.73</v>
      </c>
      <c r="O37" s="9">
        <f>SUM('Mountaineer:Charles Town'!O37)</f>
        <v>754300.91</v>
      </c>
      <c r="P37" s="9">
        <f>SUM('Mountaineer:Charles Town'!P37)</f>
        <v>369812.89</v>
      </c>
      <c r="Q37" s="9">
        <f>SUM('Mountaineer:Charles Town'!Q37)</f>
        <v>58700.46</v>
      </c>
      <c r="R37" s="9">
        <f>SUM('Mountaineer:Charles Town'!R37)</f>
        <v>39622.81</v>
      </c>
      <c r="S37" s="9">
        <f>SUM('Mountaineer:Charles Town'!S37)</f>
        <v>39622.81</v>
      </c>
      <c r="T37" s="9">
        <f>SUM('Mountaineer:Charles Town'!T37)</f>
        <v>87380.200000000012</v>
      </c>
      <c r="U37" s="9">
        <f>SUM('Mountaineer:Charles Town'!U37)</f>
        <v>30020.720000000001</v>
      </c>
      <c r="V37" s="9">
        <f>SUM('Mountaineer:Charles Town'!V37)</f>
        <v>6401.4752225307057</v>
      </c>
      <c r="W37" s="7">
        <f>SUM('Mountaineer:Charles Town'!W37)</f>
        <v>3616</v>
      </c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</row>
    <row r="38" spans="1:96" ht="15" customHeight="1" x14ac:dyDescent="0.25">
      <c r="A38" s="8">
        <f>Mountaineer!A38</f>
        <v>44240</v>
      </c>
      <c r="B38" s="9">
        <f>SUM('Mountaineer:Charles Town'!B38)</f>
        <v>67427555.170000002</v>
      </c>
      <c r="C38" s="9">
        <f>SUM('Mountaineer:Charles Town'!C38)</f>
        <v>60574399.340000004</v>
      </c>
      <c r="D38" s="9">
        <f>SUM('Mountaineer:Charles Town'!D38)</f>
        <v>926833.31</v>
      </c>
      <c r="E38" s="9">
        <f>SUM('Mountaineer:Charles Town'!E38)</f>
        <v>5926322.5199999996</v>
      </c>
      <c r="F38" s="9">
        <f>SUM('Mountaineer:Charles Town'!F38)</f>
        <v>237052.9</v>
      </c>
      <c r="G38" s="9">
        <f>SUM('Mountaineer:Charles Town'!G38)</f>
        <v>0</v>
      </c>
      <c r="H38" s="9">
        <f>SUM('Mountaineer:Charles Town'!H38)</f>
        <v>5689269.6199999992</v>
      </c>
      <c r="I38" s="9">
        <f>SUM('Mountaineer:Charles Town'!I38)</f>
        <v>0</v>
      </c>
      <c r="J38" s="9">
        <f>SUM('Mountaineer:Charles Town'!J38)</f>
        <v>0</v>
      </c>
      <c r="K38" s="9">
        <f>SUM('Mountaineer:Charles Town'!K38)</f>
        <v>0</v>
      </c>
      <c r="L38" s="9">
        <f>SUM('Mountaineer:Charles Town'!L38)</f>
        <v>5689269.6199999992</v>
      </c>
      <c r="M38" s="9">
        <f>SUM('Mountaineer:Charles Town'!M38)</f>
        <v>2645510.37</v>
      </c>
      <c r="N38" s="9">
        <f>SUM('Mountaineer:Charles Town'!N38)</f>
        <v>1706780.8599999999</v>
      </c>
      <c r="O38" s="9">
        <f>SUM('Mountaineer:Charles Town'!O38)</f>
        <v>731071.14</v>
      </c>
      <c r="P38" s="9">
        <f>SUM('Mountaineer:Charles Town'!P38)</f>
        <v>358423.99</v>
      </c>
      <c r="Q38" s="9">
        <f>SUM('Mountaineer:Charles Town'!Q38)</f>
        <v>56892.7</v>
      </c>
      <c r="R38" s="9">
        <f>SUM('Mountaineer:Charles Town'!R38)</f>
        <v>38402.58</v>
      </c>
      <c r="S38" s="9">
        <f>SUM('Mountaineer:Charles Town'!S38)</f>
        <v>38402.58</v>
      </c>
      <c r="T38" s="9">
        <f>SUM('Mountaineer:Charles Town'!T38)</f>
        <v>72078.290000000008</v>
      </c>
      <c r="U38" s="9">
        <f>SUM('Mountaineer:Charles Town'!U38)</f>
        <v>41707.11</v>
      </c>
      <c r="V38" s="9">
        <f>SUM('Mountaineer:Charles Town'!V38)</f>
        <v>6319.0538512215626</v>
      </c>
      <c r="W38" s="7">
        <f>SUM('Mountaineer:Charles Town'!W38)</f>
        <v>3586</v>
      </c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</row>
    <row r="39" spans="1:96" ht="15" customHeight="1" x14ac:dyDescent="0.25">
      <c r="A39" s="8">
        <f>Mountaineer!A39</f>
        <v>44247</v>
      </c>
      <c r="B39" s="9">
        <f>SUM('Mountaineer:Charles Town'!B39)</f>
        <v>72794880.099999994</v>
      </c>
      <c r="C39" s="9">
        <f>SUM('Mountaineer:Charles Town'!C39)</f>
        <v>65177119.860000007</v>
      </c>
      <c r="D39" s="9">
        <f>SUM('Mountaineer:Charles Town'!D39)</f>
        <v>1059853.6499999999</v>
      </c>
      <c r="E39" s="9">
        <f>SUM('Mountaineer:Charles Town'!E39)</f>
        <v>6557906.589999998</v>
      </c>
      <c r="F39" s="9">
        <f>SUM('Mountaineer:Charles Town'!F39)</f>
        <v>262316.26</v>
      </c>
      <c r="G39" s="9">
        <f>SUM('Mountaineer:Charles Town'!G39)</f>
        <v>0</v>
      </c>
      <c r="H39" s="9">
        <f>SUM('Mountaineer:Charles Town'!H39)</f>
        <v>6295590.3299999982</v>
      </c>
      <c r="I39" s="9">
        <f>SUM('Mountaineer:Charles Town'!I39)</f>
        <v>0</v>
      </c>
      <c r="J39" s="9">
        <f>SUM('Mountaineer:Charles Town'!J39)</f>
        <v>0</v>
      </c>
      <c r="K39" s="9">
        <f>SUM('Mountaineer:Charles Town'!K39)</f>
        <v>0</v>
      </c>
      <c r="L39" s="9">
        <f>SUM('Mountaineer:Charles Town'!L39)</f>
        <v>6295590.3299999982</v>
      </c>
      <c r="M39" s="9">
        <f>SUM('Mountaineer:Charles Town'!M39)</f>
        <v>2927449.5</v>
      </c>
      <c r="N39" s="9">
        <f>SUM('Mountaineer:Charles Town'!N39)</f>
        <v>1888677.1400000001</v>
      </c>
      <c r="O39" s="9">
        <f>SUM('Mountaineer:Charles Town'!O39)</f>
        <v>808983.32000000007</v>
      </c>
      <c r="P39" s="9">
        <f>SUM('Mountaineer:Charles Town'!P39)</f>
        <v>396622.19</v>
      </c>
      <c r="Q39" s="9">
        <f>SUM('Mountaineer:Charles Town'!Q39)</f>
        <v>62955.9</v>
      </c>
      <c r="R39" s="9">
        <f>SUM('Mountaineer:Charles Town'!R39)</f>
        <v>42495.240000000005</v>
      </c>
      <c r="S39" s="9">
        <f>SUM('Mountaineer:Charles Town'!S39)</f>
        <v>42495.240000000005</v>
      </c>
      <c r="T39" s="9">
        <f>SUM('Mountaineer:Charles Town'!T39)</f>
        <v>72963.35500000001</v>
      </c>
      <c r="U39" s="9">
        <f>SUM('Mountaineer:Charles Town'!U39)</f>
        <v>52948.434999999998</v>
      </c>
      <c r="V39" s="9">
        <f>SUM('Mountaineer:Charles Town'!V39)</f>
        <v>6773.7960191392649</v>
      </c>
      <c r="W39" s="7">
        <f>SUM('Mountaineer:Charles Town'!W39)</f>
        <v>3536</v>
      </c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</row>
    <row r="40" spans="1:96" ht="15" customHeight="1" x14ac:dyDescent="0.25">
      <c r="A40" s="8">
        <f>Mountaineer!A40</f>
        <v>44254</v>
      </c>
      <c r="B40" s="9">
        <f>SUM('Mountaineer:Charles Town'!B40)</f>
        <v>90848029.769999981</v>
      </c>
      <c r="C40" s="9">
        <f>SUM('Mountaineer:Charles Town'!C40)</f>
        <v>81434980.75999999</v>
      </c>
      <c r="D40" s="9">
        <f>SUM('Mountaineer:Charles Town'!D40)</f>
        <v>1325717</v>
      </c>
      <c r="E40" s="9">
        <f>SUM('Mountaineer:Charles Town'!E40)</f>
        <v>8087332.0099999979</v>
      </c>
      <c r="F40" s="9">
        <f>SUM('Mountaineer:Charles Town'!F40)</f>
        <v>323493.27</v>
      </c>
      <c r="G40" s="9">
        <f>SUM('Mountaineer:Charles Town'!G40)</f>
        <v>0</v>
      </c>
      <c r="H40" s="9">
        <f>SUM('Mountaineer:Charles Town'!H40)</f>
        <v>7763838.7399999974</v>
      </c>
      <c r="I40" s="9">
        <f>SUM('Mountaineer:Charles Town'!I40)</f>
        <v>0</v>
      </c>
      <c r="J40" s="9">
        <f>SUM('Mountaineer:Charles Town'!J40)</f>
        <v>0</v>
      </c>
      <c r="K40" s="9">
        <f>SUM('Mountaineer:Charles Town'!K40)</f>
        <v>0</v>
      </c>
      <c r="L40" s="9">
        <f>SUM('Mountaineer:Charles Town'!L40)</f>
        <v>7763838.7399999974</v>
      </c>
      <c r="M40" s="9">
        <f>SUM('Mountaineer:Charles Town'!M40)</f>
        <v>3610185</v>
      </c>
      <c r="N40" s="9">
        <f>SUM('Mountaineer:Charles Town'!N40)</f>
        <v>2329151.7199999997</v>
      </c>
      <c r="O40" s="9">
        <f>SUM('Mountaineer:Charles Town'!O40)</f>
        <v>997653.20000000007</v>
      </c>
      <c r="P40" s="9">
        <f>SUM('Mountaineer:Charles Town'!P40)</f>
        <v>489121.83999999997</v>
      </c>
      <c r="Q40" s="9">
        <f>SUM('Mountaineer:Charles Town'!Q40)</f>
        <v>77638.38</v>
      </c>
      <c r="R40" s="9">
        <f>SUM('Mountaineer:Charles Town'!R40)</f>
        <v>52405.919999999998</v>
      </c>
      <c r="S40" s="9">
        <f>SUM('Mountaineer:Charles Town'!S40)</f>
        <v>52405.919999999998</v>
      </c>
      <c r="T40" s="9">
        <f>SUM('Mountaineer:Charles Town'!T40)</f>
        <v>90740.514999999999</v>
      </c>
      <c r="U40" s="9">
        <f>SUM('Mountaineer:Charles Town'!U40)</f>
        <v>64536.235000000001</v>
      </c>
      <c r="V40" s="9">
        <f>SUM('Mountaineer:Charles Town'!V40)</f>
        <v>8250.9227168888701</v>
      </c>
      <c r="W40" s="7">
        <f>SUM('Mountaineer:Charles Town'!W40)</f>
        <v>3644</v>
      </c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</row>
    <row r="41" spans="1:96" ht="15" customHeight="1" x14ac:dyDescent="0.25">
      <c r="A41" s="8">
        <f>Mountaineer!A41</f>
        <v>44261</v>
      </c>
      <c r="B41" s="9">
        <f>SUM('Mountaineer:Charles Town'!B41)</f>
        <v>90848691.330000013</v>
      </c>
      <c r="C41" s="9">
        <f>SUM('Mountaineer:Charles Town'!C41)</f>
        <v>81676403.610000014</v>
      </c>
      <c r="D41" s="9">
        <f>SUM('Mountaineer:Charles Town'!D41)</f>
        <v>1329247</v>
      </c>
      <c r="E41" s="9">
        <f>SUM('Mountaineer:Charles Town'!E41)</f>
        <v>7843040.7199999988</v>
      </c>
      <c r="F41" s="9">
        <f>SUM('Mountaineer:Charles Town'!F41)</f>
        <v>287273.02999999997</v>
      </c>
      <c r="G41" s="9">
        <f>SUM('Mountaineer:Charles Town'!G41)</f>
        <v>26448.59</v>
      </c>
      <c r="H41" s="9">
        <f>SUM('Mountaineer:Charles Town'!H41)</f>
        <v>7529319.0999999987</v>
      </c>
      <c r="I41" s="9">
        <f>SUM('Mountaineer:Charles Town'!I41)</f>
        <v>0</v>
      </c>
      <c r="J41" s="9">
        <f>SUM('Mountaineer:Charles Town'!J41)</f>
        <v>0</v>
      </c>
      <c r="K41" s="9">
        <f>SUM('Mountaineer:Charles Town'!K41)</f>
        <v>0</v>
      </c>
      <c r="L41" s="9">
        <f>SUM('Mountaineer:Charles Town'!L41)</f>
        <v>7529319.0999999987</v>
      </c>
      <c r="M41" s="9">
        <f>SUM('Mountaineer:Charles Town'!M41)</f>
        <v>3501133.38</v>
      </c>
      <c r="N41" s="9">
        <f>SUM('Mountaineer:Charles Town'!N41)</f>
        <v>2258795.6799999997</v>
      </c>
      <c r="O41" s="9">
        <f>SUM('Mountaineer:Charles Town'!O41)</f>
        <v>967517.52</v>
      </c>
      <c r="P41" s="9">
        <f>SUM('Mountaineer:Charles Town'!P41)</f>
        <v>474347.1</v>
      </c>
      <c r="Q41" s="9">
        <f>SUM('Mountaineer:Charles Town'!Q41)</f>
        <v>75293.200000000012</v>
      </c>
      <c r="R41" s="9">
        <f>SUM('Mountaineer:Charles Town'!R41)</f>
        <v>50822.909999999996</v>
      </c>
      <c r="S41" s="9">
        <f>SUM('Mountaineer:Charles Town'!S41)</f>
        <v>50822.909999999996</v>
      </c>
      <c r="T41" s="9">
        <f>SUM('Mountaineer:Charles Town'!T41)</f>
        <v>89953.360000000015</v>
      </c>
      <c r="U41" s="9">
        <f>SUM('Mountaineer:Charles Town'!U41)</f>
        <v>60633.040000000008</v>
      </c>
      <c r="V41" s="9">
        <f>SUM('Mountaineer:Charles Town'!V41)</f>
        <v>8236.3908668462827</v>
      </c>
      <c r="W41" s="7">
        <f>SUM('Mountaineer:Charles Town'!W41)</f>
        <v>3633</v>
      </c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</row>
    <row r="42" spans="1:96" ht="15" customHeight="1" x14ac:dyDescent="0.25">
      <c r="A42" s="8">
        <f>Mountaineer!A42</f>
        <v>44268</v>
      </c>
      <c r="B42" s="9">
        <f>SUM('Mountaineer:Charles Town'!B42)</f>
        <v>90650195.400000006</v>
      </c>
      <c r="C42" s="9">
        <f>SUM('Mountaineer:Charles Town'!C42)</f>
        <v>81203502.25</v>
      </c>
      <c r="D42" s="9">
        <f>SUM('Mountaineer:Charles Town'!D42)</f>
        <v>1298260</v>
      </c>
      <c r="E42" s="9">
        <f>SUM('Mountaineer:Charles Town'!E42)</f>
        <v>8148433.1500000022</v>
      </c>
      <c r="F42" s="9">
        <f>SUM('Mountaineer:Charles Town'!F42)</f>
        <v>158319.72999999998</v>
      </c>
      <c r="G42" s="9">
        <f>SUM('Mountaineer:Charles Town'!G42)</f>
        <v>167617.57999999999</v>
      </c>
      <c r="H42" s="9">
        <f>SUM('Mountaineer:Charles Town'!H42)</f>
        <v>7822495.8400000017</v>
      </c>
      <c r="I42" s="9">
        <f>SUM('Mountaineer:Charles Town'!I42)</f>
        <v>64664.52</v>
      </c>
      <c r="J42" s="9">
        <f>SUM('Mountaineer:Charles Town'!J42)</f>
        <v>40221.33</v>
      </c>
      <c r="K42" s="9">
        <f>SUM('Mountaineer:Charles Town'!K42)</f>
        <v>24443.19</v>
      </c>
      <c r="L42" s="9">
        <f>SUM('Mountaineer:Charles Town'!L42)</f>
        <v>7757831.3200000022</v>
      </c>
      <c r="M42" s="9">
        <f>SUM('Mountaineer:Charles Town'!M42)</f>
        <v>3581202.43</v>
      </c>
      <c r="N42" s="9">
        <f>SUM('Mountaineer:Charles Town'!N42)</f>
        <v>2152755.23</v>
      </c>
      <c r="O42" s="9">
        <f>SUM('Mountaineer:Charles Town'!O42)</f>
        <v>1216287.99</v>
      </c>
      <c r="P42" s="9">
        <f>SUM('Mountaineer:Charles Town'!P42)</f>
        <v>473029.9</v>
      </c>
      <c r="Q42" s="9">
        <f>SUM('Mountaineer:Charles Town'!Q42)</f>
        <v>74668.41</v>
      </c>
      <c r="R42" s="9">
        <f>SUM('Mountaineer:Charles Town'!R42)</f>
        <v>52365.36</v>
      </c>
      <c r="S42" s="9">
        <f>SUM('Mountaineer:Charles Town'!S42)</f>
        <v>52365.36</v>
      </c>
      <c r="T42" s="9">
        <f>SUM('Mountaineer:Charles Town'!T42)</f>
        <v>91171.939999999988</v>
      </c>
      <c r="U42" s="9">
        <f>SUM('Mountaineer:Charles Town'!U42)</f>
        <v>63984.7</v>
      </c>
      <c r="V42" s="9">
        <f>SUM('Mountaineer:Charles Town'!V42)</f>
        <v>8560.8931192981563</v>
      </c>
      <c r="W42" s="7">
        <f>SUM('Mountaineer:Charles Town'!W42)</f>
        <v>3588</v>
      </c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</row>
    <row r="43" spans="1:96" ht="15" customHeight="1" x14ac:dyDescent="0.25">
      <c r="A43" s="8">
        <f>Mountaineer!A43</f>
        <v>44275</v>
      </c>
      <c r="B43" s="9">
        <f>SUM('Mountaineer:Charles Town'!B43)</f>
        <v>110848706.31</v>
      </c>
      <c r="C43" s="9">
        <f>SUM('Mountaineer:Charles Town'!C43)</f>
        <v>99705149.040000007</v>
      </c>
      <c r="D43" s="9">
        <f>SUM('Mountaineer:Charles Town'!D43)</f>
        <v>1397348.43</v>
      </c>
      <c r="E43" s="9">
        <f>SUM('Mountaineer:Charles Town'!E43)</f>
        <v>9746208.8399999924</v>
      </c>
      <c r="F43" s="9">
        <f>SUM('Mountaineer:Charles Town'!F43)</f>
        <v>200816.3</v>
      </c>
      <c r="G43" s="9">
        <f>SUM('Mountaineer:Charles Town'!G43)</f>
        <v>189032.03999999998</v>
      </c>
      <c r="H43" s="9">
        <f>SUM('Mountaineer:Charles Town'!H43)</f>
        <v>9356360.4999999925</v>
      </c>
      <c r="I43" s="9">
        <f>SUM('Mountaineer:Charles Town'!I43)</f>
        <v>453676.94</v>
      </c>
      <c r="J43" s="9">
        <f>SUM('Mountaineer:Charles Town'!J43)</f>
        <v>282187.06</v>
      </c>
      <c r="K43" s="9">
        <f>SUM('Mountaineer:Charles Town'!K43)</f>
        <v>171489.88</v>
      </c>
      <c r="L43" s="9">
        <f>SUM('Mountaineer:Charles Town'!L43)</f>
        <v>8902683.5599999912</v>
      </c>
      <c r="M43" s="9">
        <f>SUM('Mountaineer:Charles Town'!M43)</f>
        <v>3956008.7</v>
      </c>
      <c r="N43" s="9">
        <f>SUM('Mountaineer:Charles Town'!N43)</f>
        <v>1445877.3399999999</v>
      </c>
      <c r="O43" s="9">
        <f>SUM('Mountaineer:Charles Town'!O43)</f>
        <v>2683320.6799999997</v>
      </c>
      <c r="P43" s="9">
        <f>SUM('Mountaineer:Charles Town'!P43)</f>
        <v>450625.56</v>
      </c>
      <c r="Q43" s="9">
        <f>SUM('Mountaineer:Charles Town'!Q43)</f>
        <v>68611.38</v>
      </c>
      <c r="R43" s="9">
        <f>SUM('Mountaineer:Charles Town'!R43)</f>
        <v>60093.11</v>
      </c>
      <c r="S43" s="9">
        <f>SUM('Mountaineer:Charles Town'!S43)</f>
        <v>60093.11</v>
      </c>
      <c r="T43" s="9">
        <f>SUM('Mountaineer:Charles Town'!T43)</f>
        <v>107522.01999999999</v>
      </c>
      <c r="U43" s="9">
        <f>SUM('Mountaineer:Charles Town'!U43)</f>
        <v>70531.66</v>
      </c>
      <c r="V43" s="9">
        <f>SUM('Mountaineer:Charles Town'!V43)</f>
        <v>10135.572685079938</v>
      </c>
      <c r="W43" s="7">
        <f>SUM('Mountaineer:Charles Town'!W43)</f>
        <v>3641</v>
      </c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</row>
    <row r="44" spans="1:96" ht="15" customHeight="1" x14ac:dyDescent="0.25">
      <c r="A44" s="8">
        <f>Mountaineer!A44</f>
        <v>44282</v>
      </c>
      <c r="B44" s="9">
        <f>SUM('Mountaineer:Charles Town'!B44)</f>
        <v>107263286.06999999</v>
      </c>
      <c r="C44" s="9">
        <f>SUM('Mountaineer:Charles Town'!C44)</f>
        <v>96288338.030000001</v>
      </c>
      <c r="D44" s="9">
        <f>SUM('Mountaineer:Charles Town'!D44)</f>
        <v>1400819.92</v>
      </c>
      <c r="E44" s="9">
        <f>SUM('Mountaineer:Charles Town'!E44)</f>
        <v>9574128.1200000066</v>
      </c>
      <c r="F44" s="9">
        <f>SUM('Mountaineer:Charles Town'!F44)</f>
        <v>180411.34</v>
      </c>
      <c r="G44" s="9">
        <f>SUM('Mountaineer:Charles Town'!G44)</f>
        <v>202553.79</v>
      </c>
      <c r="H44" s="9">
        <f>SUM('Mountaineer:Charles Town'!H44)</f>
        <v>9191162.9900000058</v>
      </c>
      <c r="I44" s="9">
        <f>SUM('Mountaineer:Charles Town'!I44)</f>
        <v>486129.1</v>
      </c>
      <c r="J44" s="9">
        <f>SUM('Mountaineer:Charles Town'!J44)</f>
        <v>302372.3</v>
      </c>
      <c r="K44" s="9">
        <f>SUM('Mountaineer:Charles Town'!K44)</f>
        <v>183756.79999999999</v>
      </c>
      <c r="L44" s="9">
        <f>SUM('Mountaineer:Charles Town'!L44)</f>
        <v>8705033.890000008</v>
      </c>
      <c r="M44" s="9">
        <f>SUM('Mountaineer:Charles Town'!M44)</f>
        <v>3850958.4699999997</v>
      </c>
      <c r="N44" s="9">
        <f>SUM('Mountaineer:Charles Town'!N44)</f>
        <v>1298961.7200000002</v>
      </c>
      <c r="O44" s="9">
        <f>SUM('Mountaineer:Charles Town'!O44)</f>
        <v>2768032.83</v>
      </c>
      <c r="P44" s="9">
        <f>SUM('Mountaineer:Charles Town'!P44)</f>
        <v>430287.76</v>
      </c>
      <c r="Q44" s="9">
        <f>SUM('Mountaineer:Charles Town'!Q44)</f>
        <v>65174.509999999995</v>
      </c>
      <c r="R44" s="9">
        <f>SUM('Mountaineer:Charles Town'!R44)</f>
        <v>58758.979999999996</v>
      </c>
      <c r="S44" s="9">
        <f>SUM('Mountaineer:Charles Town'!S44)</f>
        <v>58758.979999999996</v>
      </c>
      <c r="T44" s="9">
        <f>SUM('Mountaineer:Charles Town'!T44)</f>
        <v>103619.94</v>
      </c>
      <c r="U44" s="9">
        <f>SUM('Mountaineer:Charles Town'!U44)</f>
        <v>70480.700000000012</v>
      </c>
      <c r="V44" s="9">
        <f>SUM('Mountaineer:Charles Town'!V44)</f>
        <v>9769.4423602738007</v>
      </c>
      <c r="W44" s="7">
        <f>SUM('Mountaineer:Charles Town'!W44)</f>
        <v>3641</v>
      </c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</row>
    <row r="45" spans="1:96" ht="15" customHeight="1" x14ac:dyDescent="0.25">
      <c r="A45" s="8">
        <f>Mountaineer!A45</f>
        <v>44289</v>
      </c>
      <c r="B45" s="9">
        <f>SUM('Mountaineer:Charles Town'!B45)</f>
        <v>103509490.15000001</v>
      </c>
      <c r="C45" s="9">
        <f>SUM('Mountaineer:Charles Town'!C45)</f>
        <v>92737902.409999996</v>
      </c>
      <c r="D45" s="9">
        <f>SUM('Mountaineer:Charles Town'!D45)</f>
        <v>1370589</v>
      </c>
      <c r="E45" s="9">
        <f>SUM('Mountaineer:Charles Town'!E45)</f>
        <v>9400998.7400000002</v>
      </c>
      <c r="F45" s="9">
        <f>SUM('Mountaineer:Charles Town'!F45)</f>
        <v>183863.62000000002</v>
      </c>
      <c r="G45" s="9">
        <f>SUM('Mountaineer:Charles Town'!G45)</f>
        <v>192176.31</v>
      </c>
      <c r="H45" s="9">
        <f>SUM('Mountaineer:Charles Town'!H45)</f>
        <v>9024958.8100000024</v>
      </c>
      <c r="I45" s="9">
        <f>SUM('Mountaineer:Charles Town'!I45)</f>
        <v>461223.16</v>
      </c>
      <c r="J45" s="9">
        <f>SUM('Mountaineer:Charles Town'!J45)</f>
        <v>286880.81</v>
      </c>
      <c r="K45" s="9">
        <f>SUM('Mountaineer:Charles Town'!K45)</f>
        <v>174342.35</v>
      </c>
      <c r="L45" s="9">
        <f>SUM('Mountaineer:Charles Town'!L45)</f>
        <v>8563735.6500000022</v>
      </c>
      <c r="M45" s="9">
        <f>SUM('Mountaineer:Charles Town'!M45)</f>
        <v>3795341.6900000004</v>
      </c>
      <c r="N45" s="9">
        <f>SUM('Mountaineer:Charles Town'!N45)</f>
        <v>1323818.0899999999</v>
      </c>
      <c r="O45" s="9">
        <f>SUM('Mountaineer:Charles Town'!O45)</f>
        <v>2665370.2999999998</v>
      </c>
      <c r="P45" s="9">
        <f>SUM('Mountaineer:Charles Town'!P45)</f>
        <v>427438.11</v>
      </c>
      <c r="Q45" s="9">
        <f>SUM('Mountaineer:Charles Town'!Q45)</f>
        <v>64882.32</v>
      </c>
      <c r="R45" s="9">
        <f>SUM('Mountaineer:Charles Town'!R45)</f>
        <v>57805.210000000006</v>
      </c>
      <c r="S45" s="9">
        <f>SUM('Mountaineer:Charles Town'!S45)</f>
        <v>57805.210000000006</v>
      </c>
      <c r="T45" s="9">
        <f>SUM('Mountaineer:Charles Town'!T45)</f>
        <v>103781.6</v>
      </c>
      <c r="U45" s="9">
        <f>SUM('Mountaineer:Charles Town'!U45)</f>
        <v>67493.119999999995</v>
      </c>
      <c r="V45" s="9">
        <f>SUM('Mountaineer:Charles Town'!V45)</f>
        <v>9500.8757729339723</v>
      </c>
      <c r="W45" s="7">
        <f>SUM('Mountaineer:Charles Town'!W45)</f>
        <v>3681</v>
      </c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</row>
    <row r="46" spans="1:96" ht="15" customHeight="1" x14ac:dyDescent="0.25">
      <c r="A46" s="8">
        <f>Mountaineer!A46</f>
        <v>44296</v>
      </c>
      <c r="B46" s="9">
        <f>SUM('Mountaineer:Charles Town'!B46)</f>
        <v>98329788.060000002</v>
      </c>
      <c r="C46" s="9">
        <f>SUM('Mountaineer:Charles Town'!C46)</f>
        <v>88578738.599999994</v>
      </c>
      <c r="D46" s="9">
        <f>SUM('Mountaineer:Charles Town'!D46)</f>
        <v>1272690</v>
      </c>
      <c r="E46" s="9">
        <f>SUM('Mountaineer:Charles Town'!E46)</f>
        <v>8478359.4600000009</v>
      </c>
      <c r="F46" s="9">
        <f>SUM('Mountaineer:Charles Town'!F46)</f>
        <v>166304.32000000001</v>
      </c>
      <c r="G46" s="9">
        <f>SUM('Mountaineer:Charles Town'!G46)</f>
        <v>172830.05</v>
      </c>
      <c r="H46" s="9">
        <f>SUM('Mountaineer:Charles Town'!H46)</f>
        <v>8139225.0900000008</v>
      </c>
      <c r="I46" s="9">
        <f>SUM('Mountaineer:Charles Town'!I46)</f>
        <v>414792.13</v>
      </c>
      <c r="J46" s="9">
        <f>SUM('Mountaineer:Charles Town'!J46)</f>
        <v>258000.7</v>
      </c>
      <c r="K46" s="9">
        <f>SUM('Mountaineer:Charles Town'!K46)</f>
        <v>156791.43</v>
      </c>
      <c r="L46" s="9">
        <f>SUM('Mountaineer:Charles Town'!L46)</f>
        <v>7724432.9600000009</v>
      </c>
      <c r="M46" s="9">
        <f>SUM('Mountaineer:Charles Town'!M46)</f>
        <v>3423870.51</v>
      </c>
      <c r="N46" s="9">
        <f>SUM('Mountaineer:Charles Town'!N46)</f>
        <v>1197391.1299999999</v>
      </c>
      <c r="O46" s="9">
        <f>SUM('Mountaineer:Charles Town'!O46)</f>
        <v>2399979.33</v>
      </c>
      <c r="P46" s="9">
        <f>SUM('Mountaineer:Charles Town'!P46)</f>
        <v>385844.78</v>
      </c>
      <c r="Q46" s="9">
        <f>SUM('Mountaineer:Charles Town'!Q46)</f>
        <v>58578.69</v>
      </c>
      <c r="R46" s="9">
        <f>SUM('Mountaineer:Charles Town'!R46)</f>
        <v>52139.92</v>
      </c>
      <c r="S46" s="9">
        <f>SUM('Mountaineer:Charles Town'!S46)</f>
        <v>52139.92</v>
      </c>
      <c r="T46" s="9">
        <f>SUM('Mountaineer:Charles Town'!T46)</f>
        <v>93852.48000000001</v>
      </c>
      <c r="U46" s="9">
        <f>SUM('Mountaineer:Charles Town'!U46)</f>
        <v>60636.200000000004</v>
      </c>
      <c r="V46" s="9">
        <f>SUM('Mountaineer:Charles Town'!V46)</f>
        <v>8438.2565993856297</v>
      </c>
      <c r="W46" s="7">
        <f>SUM('Mountaineer:Charles Town'!W46)</f>
        <v>3742</v>
      </c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</row>
    <row r="47" spans="1:96" ht="15" customHeight="1" x14ac:dyDescent="0.25">
      <c r="A47" s="8">
        <f>Mountaineer!A47</f>
        <v>44303</v>
      </c>
      <c r="B47" s="9">
        <f>SUM('Mountaineer:Charles Town'!B47)</f>
        <v>99207336.719999999</v>
      </c>
      <c r="C47" s="9">
        <f>SUM('Mountaineer:Charles Town'!C47)</f>
        <v>89104824</v>
      </c>
      <c r="D47" s="9">
        <f>SUM('Mountaineer:Charles Town'!D47)</f>
        <v>1377892</v>
      </c>
      <c r="E47" s="9">
        <f>SUM('Mountaineer:Charles Town'!E47)</f>
        <v>8724620.7199999914</v>
      </c>
      <c r="F47" s="9">
        <f>SUM('Mountaineer:Charles Town'!F47)</f>
        <v>189301.91000000003</v>
      </c>
      <c r="G47" s="9">
        <f>SUM('Mountaineer:Charles Town'!G47)</f>
        <v>159682.96000000002</v>
      </c>
      <c r="H47" s="9">
        <f>SUM('Mountaineer:Charles Town'!H47)</f>
        <v>8375635.8499999912</v>
      </c>
      <c r="I47" s="9">
        <f>SUM('Mountaineer:Charles Town'!I47)</f>
        <v>383239.09</v>
      </c>
      <c r="J47" s="9">
        <f>SUM('Mountaineer:Charles Town'!J47)</f>
        <v>238374.71</v>
      </c>
      <c r="K47" s="9">
        <f>SUM('Mountaineer:Charles Town'!K47)</f>
        <v>144864.38</v>
      </c>
      <c r="L47" s="9">
        <f>SUM('Mountaineer:Charles Town'!L47)</f>
        <v>7992396.7599999914</v>
      </c>
      <c r="M47" s="9">
        <f>SUM('Mountaineer:Charles Town'!M47)</f>
        <v>3561252.6599999997</v>
      </c>
      <c r="N47" s="9">
        <f>SUM('Mountaineer:Charles Town'!N47)</f>
        <v>1362973.42</v>
      </c>
      <c r="O47" s="9">
        <f>SUM('Mountaineer:Charles Town'!O47)</f>
        <v>2327353.27</v>
      </c>
      <c r="P47" s="9">
        <f>SUM('Mountaineer:Charles Town'!P47)</f>
        <v>410393.89</v>
      </c>
      <c r="Q47" s="9">
        <f>SUM('Mountaineer:Charles Town'!Q47)</f>
        <v>62678.22</v>
      </c>
      <c r="R47" s="9">
        <f>SUM('Mountaineer:Charles Town'!R47)</f>
        <v>53948.67</v>
      </c>
      <c r="S47" s="9">
        <f>SUM('Mountaineer:Charles Town'!S47)</f>
        <v>53948.67</v>
      </c>
      <c r="T47" s="9">
        <f>SUM('Mountaineer:Charles Town'!T47)</f>
        <v>98261.64</v>
      </c>
      <c r="U47" s="9">
        <f>SUM('Mountaineer:Charles Town'!U47)</f>
        <v>61586.32</v>
      </c>
      <c r="V47" s="9">
        <f>SUM('Mountaineer:Charles Town'!V47)</f>
        <v>8872.6372575763016</v>
      </c>
      <c r="W47" s="7">
        <f>SUM('Mountaineer:Charles Town'!W47)</f>
        <v>3743</v>
      </c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</row>
    <row r="48" spans="1:96" ht="15" customHeight="1" x14ac:dyDescent="0.25">
      <c r="A48" s="8">
        <f>Mountaineer!A48</f>
        <v>44310</v>
      </c>
      <c r="B48" s="9">
        <f>SUM('Mountaineer:Charles Town'!B48)</f>
        <v>96920434.439999998</v>
      </c>
      <c r="C48" s="9">
        <f>SUM('Mountaineer:Charles Town'!C48)</f>
        <v>87151692.949999988</v>
      </c>
      <c r="D48" s="9">
        <f>SUM('Mountaineer:Charles Town'!D48)</f>
        <v>1326270</v>
      </c>
      <c r="E48" s="9">
        <f>SUM('Mountaineer:Charles Town'!E48)</f>
        <v>8442471.4900000058</v>
      </c>
      <c r="F48" s="9">
        <f>SUM('Mountaineer:Charles Town'!F48)</f>
        <v>171485.76</v>
      </c>
      <c r="G48" s="9">
        <f>SUM('Mountaineer:Charles Town'!G48)</f>
        <v>166213.07999999999</v>
      </c>
      <c r="H48" s="9">
        <f>SUM('Mountaineer:Charles Town'!H48)</f>
        <v>8104772.650000006</v>
      </c>
      <c r="I48" s="9">
        <f>SUM('Mountaineer:Charles Town'!I48)</f>
        <v>398911.43</v>
      </c>
      <c r="J48" s="9">
        <f>SUM('Mountaineer:Charles Town'!J48)</f>
        <v>248122.91</v>
      </c>
      <c r="K48" s="9">
        <f>SUM('Mountaineer:Charles Town'!K48)</f>
        <v>150788.51999999999</v>
      </c>
      <c r="L48" s="9">
        <f>SUM('Mountaineer:Charles Town'!L48)</f>
        <v>7705861.2200000053</v>
      </c>
      <c r="M48" s="9">
        <f>SUM('Mountaineer:Charles Town'!M48)</f>
        <v>3421666.3499999996</v>
      </c>
      <c r="N48" s="9">
        <f>SUM('Mountaineer:Charles Town'!N48)</f>
        <v>1234697.55</v>
      </c>
      <c r="O48" s="9">
        <f>SUM('Mountaineer:Charles Town'!O48)</f>
        <v>2343709.63</v>
      </c>
      <c r="P48" s="9">
        <f>SUM('Mountaineer:Charles Town'!P48)</f>
        <v>388533.78</v>
      </c>
      <c r="Q48" s="9">
        <f>SUM('Mountaineer:Charles Town'!Q48)</f>
        <v>59107.59</v>
      </c>
      <c r="R48" s="9">
        <f>SUM('Mountaineer:Charles Town'!R48)</f>
        <v>52014.559999999998</v>
      </c>
      <c r="S48" s="9">
        <f>SUM('Mountaineer:Charles Town'!S48)</f>
        <v>52014.559999999998</v>
      </c>
      <c r="T48" s="9">
        <f>SUM('Mountaineer:Charles Town'!T48)</f>
        <v>93032.66</v>
      </c>
      <c r="U48" s="9">
        <f>SUM('Mountaineer:Charles Town'!U48)</f>
        <v>61084.539999999994</v>
      </c>
      <c r="V48" s="9">
        <f>SUM('Mountaineer:Charles Town'!V48)</f>
        <v>8519.261141213341</v>
      </c>
      <c r="W48" s="7">
        <f>SUM('Mountaineer:Charles Town'!W48)</f>
        <v>3742</v>
      </c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</row>
    <row r="49" spans="1:96" ht="15" customHeight="1" x14ac:dyDescent="0.25">
      <c r="A49" s="8">
        <f>Mountaineer!A49</f>
        <v>44317</v>
      </c>
      <c r="B49" s="9">
        <f>SUM('Mountaineer:Charles Town'!B49)</f>
        <v>99259042.650000006</v>
      </c>
      <c r="C49" s="9">
        <f>SUM('Mountaineer:Charles Town'!C49)</f>
        <v>88926073.210000008</v>
      </c>
      <c r="D49" s="9">
        <f>SUM('Mountaineer:Charles Town'!D49)</f>
        <v>1381134</v>
      </c>
      <c r="E49" s="9">
        <f>SUM('Mountaineer:Charles Town'!E49)</f>
        <v>8951835.4399999995</v>
      </c>
      <c r="F49" s="9">
        <f>SUM('Mountaineer:Charles Town'!F49)</f>
        <v>177752.47999999998</v>
      </c>
      <c r="G49" s="9">
        <f>SUM('Mountaineer:Charles Town'!G49)</f>
        <v>180320.96</v>
      </c>
      <c r="H49" s="9">
        <f>SUM('Mountaineer:Charles Town'!H49)</f>
        <v>8593762</v>
      </c>
      <c r="I49" s="9">
        <f>SUM('Mountaineer:Charles Town'!I49)</f>
        <v>432770.28</v>
      </c>
      <c r="J49" s="9">
        <f>SUM('Mountaineer:Charles Town'!J49)</f>
        <v>269183.11</v>
      </c>
      <c r="K49" s="9">
        <f>SUM('Mountaineer:Charles Town'!K49)</f>
        <v>163587.17000000001</v>
      </c>
      <c r="L49" s="9">
        <f>SUM('Mountaineer:Charles Town'!L49)</f>
        <v>8160991.7199999988</v>
      </c>
      <c r="M49" s="9">
        <f>SUM('Mountaineer:Charles Town'!M49)</f>
        <v>3619589.1799999997</v>
      </c>
      <c r="N49" s="9">
        <f>SUM('Mountaineer:Charles Town'!N49)</f>
        <v>1279817.69</v>
      </c>
      <c r="O49" s="9">
        <f>SUM('Mountaineer:Charles Town'!O49)</f>
        <v>2517077.08</v>
      </c>
      <c r="P49" s="9">
        <f>SUM('Mountaineer:Charles Town'!P49)</f>
        <v>408979.29</v>
      </c>
      <c r="Q49" s="9">
        <f>SUM('Mountaineer:Charles Town'!Q49)</f>
        <v>62135.259999999995</v>
      </c>
      <c r="R49" s="9">
        <f>SUM('Mountaineer:Charles Town'!R49)</f>
        <v>55086.69</v>
      </c>
      <c r="S49" s="9">
        <f>SUM('Mountaineer:Charles Town'!S49)</f>
        <v>55086.69</v>
      </c>
      <c r="T49" s="9">
        <f>SUM('Mountaineer:Charles Town'!T49)</f>
        <v>98311.760000000009</v>
      </c>
      <c r="U49" s="9">
        <f>SUM('Mountaineer:Charles Town'!U49)</f>
        <v>64908.08</v>
      </c>
      <c r="V49" s="9">
        <f>SUM('Mountaineer:Charles Town'!V49)</f>
        <v>8971.0016495528325</v>
      </c>
      <c r="W49" s="7">
        <f>SUM('Mountaineer:Charles Town'!W49)</f>
        <v>3746</v>
      </c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</row>
    <row r="50" spans="1:96" ht="15" customHeight="1" x14ac:dyDescent="0.25">
      <c r="A50" s="8">
        <f>Mountaineer!A50</f>
        <v>44324</v>
      </c>
      <c r="B50" s="9">
        <f>SUM('Mountaineer:Charles Town'!B50)</f>
        <v>93677039.659999996</v>
      </c>
      <c r="C50" s="9">
        <f>SUM('Mountaineer:Charles Town'!C50)</f>
        <v>84161120.340000004</v>
      </c>
      <c r="D50" s="9">
        <f>SUM('Mountaineer:Charles Town'!D50)</f>
        <v>1304259</v>
      </c>
      <c r="E50" s="9">
        <f>SUM('Mountaineer:Charles Town'!E50)</f>
        <v>8211660.3199999928</v>
      </c>
      <c r="F50" s="9">
        <f>SUM('Mountaineer:Charles Town'!F50)</f>
        <v>165821.32999999999</v>
      </c>
      <c r="G50" s="9">
        <f>SUM('Mountaineer:Charles Town'!G50)</f>
        <v>162645.09</v>
      </c>
      <c r="H50" s="9">
        <f>SUM('Mountaineer:Charles Town'!H50)</f>
        <v>7883193.8999999929</v>
      </c>
      <c r="I50" s="9">
        <f>SUM('Mountaineer:Charles Town'!I50)</f>
        <v>390348.18</v>
      </c>
      <c r="J50" s="9">
        <f>SUM('Mountaineer:Charles Town'!J50)</f>
        <v>242796.57</v>
      </c>
      <c r="K50" s="9">
        <f>SUM('Mountaineer:Charles Town'!K50)</f>
        <v>147551.60999999999</v>
      </c>
      <c r="L50" s="9">
        <f>SUM('Mountaineer:Charles Town'!L50)</f>
        <v>7492845.7199999932</v>
      </c>
      <c r="M50" s="9">
        <f>SUM('Mountaineer:Charles Town'!M50)</f>
        <v>3326082.24</v>
      </c>
      <c r="N50" s="9">
        <f>SUM('Mountaineer:Charles Town'!N50)</f>
        <v>1193913.67</v>
      </c>
      <c r="O50" s="9">
        <f>SUM('Mountaineer:Charles Town'!O50)</f>
        <v>2287282.0300000003</v>
      </c>
      <c r="P50" s="9">
        <f>SUM('Mountaineer:Charles Town'!P50)</f>
        <v>377194.67</v>
      </c>
      <c r="Q50" s="9">
        <f>SUM('Mountaineer:Charles Town'!Q50)</f>
        <v>57362.79</v>
      </c>
      <c r="R50" s="9">
        <f>SUM('Mountaineer:Charles Town'!R50)</f>
        <v>50576.700000000004</v>
      </c>
      <c r="S50" s="9">
        <f>SUM('Mountaineer:Charles Town'!S50)</f>
        <v>50576.700000000004</v>
      </c>
      <c r="T50" s="9">
        <f>SUM('Mountaineer:Charles Town'!T50)</f>
        <v>90442.459999999992</v>
      </c>
      <c r="U50" s="9">
        <f>SUM('Mountaineer:Charles Town'!U50)</f>
        <v>59414.459999999992</v>
      </c>
      <c r="V50" s="9">
        <f>SUM('Mountaineer:Charles Town'!V50)</f>
        <v>8232.8061923408404</v>
      </c>
      <c r="W50" s="7">
        <f>SUM('Mountaineer:Charles Town'!W50)</f>
        <v>3751</v>
      </c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</row>
    <row r="51" spans="1:96" ht="15" customHeight="1" x14ac:dyDescent="0.25">
      <c r="A51" s="8">
        <f>Mountaineer!A51</f>
        <v>44331</v>
      </c>
      <c r="B51" s="9">
        <f>SUM('Mountaineer:Charles Town'!B51)</f>
        <v>91620148.310000002</v>
      </c>
      <c r="C51" s="9">
        <f>SUM('Mountaineer:Charles Town'!C51)</f>
        <v>82547611.230000004</v>
      </c>
      <c r="D51" s="9">
        <f>SUM('Mountaineer:Charles Town'!D51)</f>
        <v>1387066</v>
      </c>
      <c r="E51" s="9">
        <f>SUM('Mountaineer:Charles Town'!E51)</f>
        <v>7685471.0799999908</v>
      </c>
      <c r="F51" s="9">
        <f>SUM('Mountaineer:Charles Town'!F51)</f>
        <v>159284.07999999999</v>
      </c>
      <c r="G51" s="9">
        <f>SUM('Mountaineer:Charles Town'!G51)</f>
        <v>148134.76</v>
      </c>
      <c r="H51" s="9">
        <f>SUM('Mountaineer:Charles Town'!H51)</f>
        <v>7378052.2399999909</v>
      </c>
      <c r="I51" s="9">
        <f>SUM('Mountaineer:Charles Town'!I51)</f>
        <v>355523.43</v>
      </c>
      <c r="J51" s="9">
        <f>SUM('Mountaineer:Charles Town'!J51)</f>
        <v>221135.57</v>
      </c>
      <c r="K51" s="9">
        <f>SUM('Mountaineer:Charles Town'!K51)</f>
        <v>134387.85999999999</v>
      </c>
      <c r="L51" s="9">
        <f>SUM('Mountaineer:Charles Town'!L51)</f>
        <v>7022528.8099999912</v>
      </c>
      <c r="M51" s="9">
        <f>SUM('Mountaineer:Charles Town'!M51)</f>
        <v>3121488.92</v>
      </c>
      <c r="N51" s="9">
        <f>SUM('Mountaineer:Charles Town'!N51)</f>
        <v>1146845.47</v>
      </c>
      <c r="O51" s="9">
        <f>SUM('Mountaineer:Charles Town'!O51)</f>
        <v>2108685.9300000002</v>
      </c>
      <c r="P51" s="9">
        <f>SUM('Mountaineer:Charles Town'!P51)</f>
        <v>356027.12</v>
      </c>
      <c r="Q51" s="9">
        <f>SUM('Mountaineer:Charles Town'!Q51)</f>
        <v>54226.710000000006</v>
      </c>
      <c r="R51" s="9">
        <f>SUM('Mountaineer:Charles Town'!R51)</f>
        <v>47402.069999999992</v>
      </c>
      <c r="S51" s="9">
        <f>SUM('Mountaineer:Charles Town'!S51)</f>
        <v>47402.069999999992</v>
      </c>
      <c r="T51" s="9">
        <f>SUM('Mountaineer:Charles Town'!T51)</f>
        <v>85893.12000000001</v>
      </c>
      <c r="U51" s="9">
        <f>SUM('Mountaineer:Charles Town'!U51)</f>
        <v>54557.400000000009</v>
      </c>
      <c r="V51" s="9">
        <f>SUM('Mountaineer:Charles Town'!V51)</f>
        <v>7850.0563162276376</v>
      </c>
      <c r="W51" s="7">
        <f>SUM('Mountaineer:Charles Town'!W51)</f>
        <v>3695</v>
      </c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</row>
    <row r="52" spans="1:96" ht="15" customHeight="1" x14ac:dyDescent="0.25">
      <c r="A52" s="8">
        <f>Mountaineer!A52</f>
        <v>44338</v>
      </c>
      <c r="B52" s="9">
        <f>SUM('Mountaineer:Charles Town'!B52)</f>
        <v>87510365.790000007</v>
      </c>
      <c r="C52" s="9">
        <f>SUM('Mountaineer:Charles Town'!C52)</f>
        <v>78271028.949999988</v>
      </c>
      <c r="D52" s="9">
        <f>SUM('Mountaineer:Charles Town'!D52)</f>
        <v>914616.8</v>
      </c>
      <c r="E52" s="9">
        <f>SUM('Mountaineer:Charles Town'!E52)</f>
        <v>8324720.0400000075</v>
      </c>
      <c r="F52" s="9">
        <f>SUM('Mountaineer:Charles Town'!F52)</f>
        <v>152810.65</v>
      </c>
      <c r="G52" s="9">
        <f>SUM('Mountaineer:Charles Town'!G52)</f>
        <v>180178.12</v>
      </c>
      <c r="H52" s="9">
        <f>SUM('Mountaineer:Charles Town'!H52)</f>
        <v>7991731.270000007</v>
      </c>
      <c r="I52" s="9">
        <f>SUM('Mountaineer:Charles Town'!I52)</f>
        <v>432427.49</v>
      </c>
      <c r="J52" s="9">
        <f>SUM('Mountaineer:Charles Town'!J52)</f>
        <v>268969.90000000002</v>
      </c>
      <c r="K52" s="9">
        <f>SUM('Mountaineer:Charles Town'!K52)</f>
        <v>163457.59</v>
      </c>
      <c r="L52" s="9">
        <f>SUM('Mountaineer:Charles Town'!L52)</f>
        <v>7559303.7800000068</v>
      </c>
      <c r="M52" s="9">
        <f>SUM('Mountaineer:Charles Town'!M52)</f>
        <v>3339943.13</v>
      </c>
      <c r="N52" s="9">
        <f>SUM('Mountaineer:Charles Town'!N52)</f>
        <v>1100236.93</v>
      </c>
      <c r="O52" s="9">
        <f>SUM('Mountaineer:Charles Town'!O52)</f>
        <v>2438596.98</v>
      </c>
      <c r="P52" s="9">
        <f>SUM('Mountaineer:Charles Town'!P52)</f>
        <v>371156.26</v>
      </c>
      <c r="Q52" s="9">
        <f>SUM('Mountaineer:Charles Town'!Q52)</f>
        <v>56133.8</v>
      </c>
      <c r="R52" s="9">
        <f>SUM('Mountaineer:Charles Town'!R52)</f>
        <v>51025.3</v>
      </c>
      <c r="S52" s="9">
        <f>SUM('Mountaineer:Charles Town'!S52)</f>
        <v>51025.3</v>
      </c>
      <c r="T52" s="9">
        <f>SUM('Mountaineer:Charles Town'!T52)</f>
        <v>90896.320000000007</v>
      </c>
      <c r="U52" s="9">
        <f>SUM('Mountaineer:Charles Town'!U52)</f>
        <v>60289.759999999995</v>
      </c>
      <c r="V52" s="9">
        <f>SUM('Mountaineer:Charles Town'!V52)</f>
        <v>8206.4019846089195</v>
      </c>
      <c r="W52" s="7">
        <f>SUM('Mountaineer:Charles Town'!W52)</f>
        <v>3708</v>
      </c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</row>
    <row r="53" spans="1:96" ht="15" customHeight="1" x14ac:dyDescent="0.25">
      <c r="A53" s="8">
        <f>Mountaineer!A53</f>
        <v>44345</v>
      </c>
      <c r="B53" s="9">
        <f>SUM('Mountaineer:Charles Town'!B53)</f>
        <v>100522148.25</v>
      </c>
      <c r="C53" s="9">
        <f>SUM('Mountaineer:Charles Town'!C53)</f>
        <v>90442968.469999999</v>
      </c>
      <c r="D53" s="9">
        <f>SUM('Mountaineer:Charles Town'!D53)</f>
        <v>550640</v>
      </c>
      <c r="E53" s="9">
        <f>SUM('Mountaineer:Charles Town'!E53)</f>
        <v>9528539.7800000068</v>
      </c>
      <c r="F53" s="9">
        <f>SUM('Mountaineer:Charles Town'!F53)</f>
        <v>168942.3</v>
      </c>
      <c r="G53" s="9">
        <f>SUM('Mountaineer:Charles Town'!G53)</f>
        <v>212199.3</v>
      </c>
      <c r="H53" s="9">
        <f>SUM('Mountaineer:Charles Town'!H53)</f>
        <v>9147398.1800000072</v>
      </c>
      <c r="I53" s="9">
        <f>SUM('Mountaineer:Charles Town'!I53)</f>
        <v>509278.33</v>
      </c>
      <c r="J53" s="9">
        <f>SUM('Mountaineer:Charles Town'!J53)</f>
        <v>316771.12</v>
      </c>
      <c r="K53" s="9">
        <f>SUM('Mountaineer:Charles Town'!K53)</f>
        <v>192507.21</v>
      </c>
      <c r="L53" s="9">
        <f>SUM('Mountaineer:Charles Town'!L53)</f>
        <v>8638119.8500000071</v>
      </c>
      <c r="M53" s="9">
        <f>SUM('Mountaineer:Charles Town'!M53)</f>
        <v>3810468</v>
      </c>
      <c r="N53" s="9">
        <f>SUM('Mountaineer:Charles Town'!N53)</f>
        <v>1216384.53</v>
      </c>
      <c r="O53" s="9">
        <f>SUM('Mountaineer:Charles Town'!O53)</f>
        <v>2837979.76</v>
      </c>
      <c r="P53" s="9">
        <f>SUM('Mountaineer:Charles Town'!P53)</f>
        <v>420446.92</v>
      </c>
      <c r="Q53" s="9">
        <f>SUM('Mountaineer:Charles Town'!Q53)</f>
        <v>63463.66</v>
      </c>
      <c r="R53" s="9">
        <f>SUM('Mountaineer:Charles Town'!R53)</f>
        <v>58307.31</v>
      </c>
      <c r="S53" s="9">
        <f>SUM('Mountaineer:Charles Town'!S53)</f>
        <v>58307.31</v>
      </c>
      <c r="T53" s="9">
        <f>SUM('Mountaineer:Charles Town'!T53)</f>
        <v>104327.64</v>
      </c>
      <c r="U53" s="9">
        <f>SUM('Mountaineer:Charles Town'!U53)</f>
        <v>68434.720000000001</v>
      </c>
      <c r="V53" s="9">
        <f>SUM('Mountaineer:Charles Town'!V53)</f>
        <v>8978.2518570198081</v>
      </c>
      <c r="W53" s="7">
        <f>SUM('Mountaineer:Charles Town'!W53)</f>
        <v>3816</v>
      </c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</row>
    <row r="54" spans="1:96" ht="15" customHeight="1" x14ac:dyDescent="0.25">
      <c r="A54" s="8">
        <f>Mountaineer!A54</f>
        <v>44352</v>
      </c>
      <c r="B54" s="9">
        <f>SUM('Mountaineer:Charles Town'!B54)</f>
        <v>106863500.53</v>
      </c>
      <c r="C54" s="9">
        <f>SUM('Mountaineer:Charles Town'!C54)</f>
        <v>95841644.650000006</v>
      </c>
      <c r="D54" s="9">
        <f>SUM('Mountaineer:Charles Town'!D54)</f>
        <v>582501</v>
      </c>
      <c r="E54" s="9">
        <f>SUM('Mountaineer:Charles Town'!E54)</f>
        <v>10439354.879999993</v>
      </c>
      <c r="F54" s="9">
        <f>SUM('Mountaineer:Charles Town'!F54)</f>
        <v>189880.11000000002</v>
      </c>
      <c r="G54" s="9">
        <f>SUM('Mountaineer:Charles Town'!G54)</f>
        <v>227694.07999999999</v>
      </c>
      <c r="H54" s="9">
        <f>SUM('Mountaineer:Charles Town'!H54)</f>
        <v>10021780.689999994</v>
      </c>
      <c r="I54" s="9">
        <f>SUM('Mountaineer:Charles Town'!I54)</f>
        <v>546465.81000000006</v>
      </c>
      <c r="J54" s="9">
        <f>SUM('Mountaineer:Charles Town'!J54)</f>
        <v>339901.73</v>
      </c>
      <c r="K54" s="9">
        <f>SUM('Mountaineer:Charles Town'!K54)</f>
        <v>206564.08</v>
      </c>
      <c r="L54" s="9">
        <f>SUM('Mountaineer:Charles Town'!L54)</f>
        <v>9475314.8799999915</v>
      </c>
      <c r="M54" s="9">
        <f>SUM('Mountaineer:Charles Town'!M54)</f>
        <v>4184702.76</v>
      </c>
      <c r="N54" s="9">
        <f>SUM('Mountaineer:Charles Town'!N54)</f>
        <v>1367136.7400000002</v>
      </c>
      <c r="O54" s="9">
        <f>SUM('Mountaineer:Charles Town'!O54)</f>
        <v>3071736.45</v>
      </c>
      <c r="P54" s="9">
        <f>SUM('Mountaineer:Charles Town'!P54)</f>
        <v>464153.65</v>
      </c>
      <c r="Q54" s="9">
        <f>SUM('Mountaineer:Charles Town'!Q54)</f>
        <v>70162.2</v>
      </c>
      <c r="R54" s="9">
        <f>SUM('Mountaineer:Charles Town'!R54)</f>
        <v>63958.380000000005</v>
      </c>
      <c r="S54" s="9">
        <f>SUM('Mountaineer:Charles Town'!S54)</f>
        <v>63958.380000000005</v>
      </c>
      <c r="T54" s="9">
        <f>SUM('Mountaineer:Charles Town'!T54)</f>
        <v>114602.82</v>
      </c>
      <c r="U54" s="9">
        <f>SUM('Mountaineer:Charles Town'!U54)</f>
        <v>74903.5</v>
      </c>
      <c r="V54" s="9">
        <f>SUM('Mountaineer:Charles Town'!V54)</f>
        <v>9617.4980074109862</v>
      </c>
      <c r="W54" s="7">
        <f>SUM('Mountaineer:Charles Town'!W54)</f>
        <v>3968</v>
      </c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</row>
    <row r="55" spans="1:96" ht="15" customHeight="1" x14ac:dyDescent="0.25">
      <c r="A55" s="8">
        <f>Mountaineer!A55</f>
        <v>44359</v>
      </c>
      <c r="B55" s="9">
        <f>SUM('Mountaineer:Charles Town'!B55)</f>
        <v>95722326.859999999</v>
      </c>
      <c r="C55" s="9">
        <f>SUM('Mountaineer:Charles Town'!C55)</f>
        <v>85910032.480000004</v>
      </c>
      <c r="D55" s="9">
        <f>SUM('Mountaineer:Charles Town'!D55)</f>
        <v>577999</v>
      </c>
      <c r="E55" s="9">
        <f>SUM('Mountaineer:Charles Town'!E55)</f>
        <v>9234295.379999999</v>
      </c>
      <c r="F55" s="9">
        <f>SUM('Mountaineer:Charles Town'!F55)</f>
        <v>166884.46</v>
      </c>
      <c r="G55" s="9">
        <f>SUM('Mountaineer:Charles Town'!G55)</f>
        <v>202487.35</v>
      </c>
      <c r="H55" s="9">
        <f>SUM('Mountaineer:Charles Town'!H55)</f>
        <v>8864923.5700000003</v>
      </c>
      <c r="I55" s="9">
        <f>SUM('Mountaineer:Charles Town'!I55)</f>
        <v>485969.68</v>
      </c>
      <c r="J55" s="9">
        <f>SUM('Mountaineer:Charles Town'!J55)</f>
        <v>302273.14</v>
      </c>
      <c r="K55" s="9">
        <f>SUM('Mountaineer:Charles Town'!K55)</f>
        <v>183696.54</v>
      </c>
      <c r="L55" s="9">
        <f>SUM('Mountaineer:Charles Town'!L55)</f>
        <v>8378953.8899999997</v>
      </c>
      <c r="M55" s="9">
        <f>SUM('Mountaineer:Charles Town'!M55)</f>
        <v>3699395.84</v>
      </c>
      <c r="N55" s="9">
        <f>SUM('Mountaineer:Charles Town'!N55)</f>
        <v>1201568.0900000001</v>
      </c>
      <c r="O55" s="9">
        <f>SUM('Mountaineer:Charles Town'!O55)</f>
        <v>2725590.66</v>
      </c>
      <c r="P55" s="9">
        <f>SUM('Mountaineer:Charles Town'!P55)</f>
        <v>409783.46000000008</v>
      </c>
      <c r="Q55" s="9">
        <f>SUM('Mountaineer:Charles Town'!Q55)</f>
        <v>61920.899999999994</v>
      </c>
      <c r="R55" s="9">
        <f>SUM('Mountaineer:Charles Town'!R55)</f>
        <v>56557.94</v>
      </c>
      <c r="S55" s="9">
        <f>SUM('Mountaineer:Charles Town'!S55)</f>
        <v>56557.94</v>
      </c>
      <c r="T55" s="9">
        <f>SUM('Mountaineer:Charles Town'!T55)</f>
        <v>100439.03</v>
      </c>
      <c r="U55" s="9">
        <f>SUM('Mountaineer:Charles Town'!U55)</f>
        <v>67140.03</v>
      </c>
      <c r="V55" s="9">
        <f>SUM('Mountaineer:Charles Town'!V55)</f>
        <v>8328.7498909844981</v>
      </c>
      <c r="W55" s="7">
        <f>SUM('Mountaineer:Charles Town'!W55)</f>
        <v>4052</v>
      </c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</row>
    <row r="56" spans="1:96" ht="15" customHeight="1" x14ac:dyDescent="0.25">
      <c r="A56" s="8">
        <f>Mountaineer!A56</f>
        <v>44366</v>
      </c>
      <c r="B56" s="9">
        <f>SUM('Mountaineer:Charles Town'!B56)</f>
        <v>98659106.930000007</v>
      </c>
      <c r="C56" s="9">
        <f>SUM('Mountaineer:Charles Town'!C56)</f>
        <v>88521940.129999995</v>
      </c>
      <c r="D56" s="9">
        <f>SUM('Mountaineer:Charles Town'!D56)</f>
        <v>554001</v>
      </c>
      <c r="E56" s="9">
        <f>SUM('Mountaineer:Charles Town'!E56)</f>
        <v>9583165.7999999933</v>
      </c>
      <c r="F56" s="9">
        <f>SUM('Mountaineer:Charles Town'!F56)</f>
        <v>168135.27000000002</v>
      </c>
      <c r="G56" s="9">
        <f>SUM('Mountaineer:Charles Town'!G56)</f>
        <v>215191.36</v>
      </c>
      <c r="H56" s="9">
        <f>SUM('Mountaineer:Charles Town'!H56)</f>
        <v>9199839.1699999925</v>
      </c>
      <c r="I56" s="9">
        <f>SUM('Mountaineer:Charles Town'!I56)</f>
        <v>516459.24</v>
      </c>
      <c r="J56" s="9">
        <f>SUM('Mountaineer:Charles Town'!J56)</f>
        <v>321237.65000000002</v>
      </c>
      <c r="K56" s="9">
        <f>SUM('Mountaineer:Charles Town'!K56)</f>
        <v>195221.59</v>
      </c>
      <c r="L56" s="9">
        <f>SUM('Mountaineer:Charles Town'!L56)</f>
        <v>8683379.9299999923</v>
      </c>
      <c r="M56" s="9">
        <f>SUM('Mountaineer:Charles Town'!M56)</f>
        <v>3828605.6799999997</v>
      </c>
      <c r="N56" s="9">
        <f>SUM('Mountaineer:Charles Town'!N56)</f>
        <v>1210573.95</v>
      </c>
      <c r="O56" s="9">
        <f>SUM('Mountaineer:Charles Town'!O56)</f>
        <v>2868160.55</v>
      </c>
      <c r="P56" s="9">
        <f>SUM('Mountaineer:Charles Town'!P56)</f>
        <v>421553.33999999997</v>
      </c>
      <c r="Q56" s="9">
        <f>SUM('Mountaineer:Charles Town'!Q56)</f>
        <v>63593.15</v>
      </c>
      <c r="R56" s="9">
        <f>SUM('Mountaineer:Charles Town'!R56)</f>
        <v>58612.81</v>
      </c>
      <c r="S56" s="9">
        <f>SUM('Mountaineer:Charles Town'!S56)</f>
        <v>58612.81</v>
      </c>
      <c r="T56" s="9">
        <f>SUM('Mountaineer:Charles Town'!T56)</f>
        <v>104180.28</v>
      </c>
      <c r="U56" s="9">
        <f>SUM('Mountaineer:Charles Town'!U56)</f>
        <v>69487.360000000001</v>
      </c>
      <c r="V56" s="9">
        <f>SUM('Mountaineer:Charles Town'!V56)</f>
        <v>8293.6637266556754</v>
      </c>
      <c r="W56" s="7">
        <f>SUM('Mountaineer:Charles Town'!W56)</f>
        <v>4133</v>
      </c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</row>
    <row r="57" spans="1:96" ht="15" customHeight="1" x14ac:dyDescent="0.25">
      <c r="A57" s="8">
        <f>Mountaineer!A57</f>
        <v>44373</v>
      </c>
      <c r="B57" s="9">
        <f>SUM('Mountaineer:Charles Town'!B57)</f>
        <v>103431280.7</v>
      </c>
      <c r="C57" s="9">
        <f>SUM('Mountaineer:Charles Town'!C57)</f>
        <v>93180287.659999996</v>
      </c>
      <c r="D57" s="9">
        <f>SUM('Mountaineer:Charles Town'!D57)</f>
        <v>599030</v>
      </c>
      <c r="E57" s="9">
        <f>SUM('Mountaineer:Charles Town'!E57)</f>
        <v>9651963.0399999954</v>
      </c>
      <c r="F57" s="9">
        <f>SUM('Mountaineer:Charles Town'!F57)</f>
        <v>165834.23000000001</v>
      </c>
      <c r="G57" s="9">
        <f>SUM('Mountaineer:Charles Town'!G57)</f>
        <v>220244.3</v>
      </c>
      <c r="H57" s="9">
        <f>SUM('Mountaineer:Charles Town'!H57)</f>
        <v>9265884.5099999942</v>
      </c>
      <c r="I57" s="9">
        <f>SUM('Mountaineer:Charles Town'!I57)</f>
        <v>528586.29</v>
      </c>
      <c r="J57" s="9">
        <f>SUM('Mountaineer:Charles Town'!J57)</f>
        <v>328780.67</v>
      </c>
      <c r="K57" s="9">
        <f>SUM('Mountaineer:Charles Town'!K57)</f>
        <v>199805.62</v>
      </c>
      <c r="L57" s="9">
        <f>SUM('Mountaineer:Charles Town'!L57)</f>
        <v>8737298.2199999951</v>
      </c>
      <c r="M57" s="9">
        <f>SUM('Mountaineer:Charles Town'!M57)</f>
        <v>3848766.22</v>
      </c>
      <c r="N57" s="9">
        <f>SUM('Mountaineer:Charles Town'!N57)</f>
        <v>1194006.5</v>
      </c>
      <c r="O57" s="9">
        <f>SUM('Mountaineer:Charles Town'!O57)</f>
        <v>2916236.14</v>
      </c>
      <c r="P57" s="9">
        <f>SUM('Mountaineer:Charles Town'!P57)</f>
        <v>422003.31999999995</v>
      </c>
      <c r="Q57" s="9">
        <f>SUM('Mountaineer:Charles Town'!Q57)</f>
        <v>63586.58</v>
      </c>
      <c r="R57" s="9">
        <f>SUM('Mountaineer:Charles Town'!R57)</f>
        <v>58976.77</v>
      </c>
      <c r="S57" s="9">
        <f>SUM('Mountaineer:Charles Town'!S57)</f>
        <v>58976.77</v>
      </c>
      <c r="T57" s="9">
        <f>SUM('Mountaineer:Charles Town'!T57)</f>
        <v>104129.34</v>
      </c>
      <c r="U57" s="9">
        <f>SUM('Mountaineer:Charles Town'!U57)</f>
        <v>70616.58</v>
      </c>
      <c r="V57" s="9">
        <f>SUM('Mountaineer:Charles Town'!V57)</f>
        <v>8212.051824972943</v>
      </c>
      <c r="W57" s="7">
        <f>SUM('Mountaineer:Charles Town'!W57)</f>
        <v>4230</v>
      </c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</row>
    <row r="58" spans="1:96" ht="15" customHeight="1" x14ac:dyDescent="0.25">
      <c r="A58" s="8" t="str">
        <f>Mountaineer!A58</f>
        <v>6/30/2021  ***</v>
      </c>
      <c r="B58" s="9">
        <f>SUM('Mountaineer:Charles Town'!B58)</f>
        <v>46702264.350000001</v>
      </c>
      <c r="C58" s="9">
        <f>SUM('Mountaineer:Charles Town'!C58)</f>
        <v>41837548.939999998</v>
      </c>
      <c r="D58" s="9">
        <f>SUM('Mountaineer:Charles Town'!D58)</f>
        <v>259726</v>
      </c>
      <c r="E58" s="9">
        <f>SUM('Mountaineer:Charles Town'!E58)</f>
        <v>4604989.410000002</v>
      </c>
      <c r="F58" s="9">
        <f>SUM('Mountaineer:Charles Town'!F58)</f>
        <v>75285.22</v>
      </c>
      <c r="G58" s="9">
        <f>SUM('Mountaineer:Charles Town'!G58)</f>
        <v>108914.34</v>
      </c>
      <c r="H58" s="9">
        <f>SUM('Mountaineer:Charles Town'!H58)</f>
        <v>4420789.8500000024</v>
      </c>
      <c r="I58" s="9">
        <f>SUM('Mountaineer:Charles Town'!I58)</f>
        <v>261394.41</v>
      </c>
      <c r="J58" s="9">
        <f>SUM('Mountaineer:Charles Town'!J58)</f>
        <v>162587.32</v>
      </c>
      <c r="K58" s="9">
        <f>SUM('Mountaineer:Charles Town'!K58)</f>
        <v>98807.09</v>
      </c>
      <c r="L58" s="9">
        <f>SUM('Mountaineer:Charles Town'!L58)</f>
        <v>4159395.4400000023</v>
      </c>
      <c r="M58" s="9">
        <f>SUM('Mountaineer:Charles Town'!M58)</f>
        <v>1828254.1400000001</v>
      </c>
      <c r="N58" s="9">
        <f>SUM('Mountaineer:Charles Town'!N58)</f>
        <v>542053.82000000007</v>
      </c>
      <c r="O58" s="9">
        <f>SUM('Mountaineer:Charles Town'!O58)</f>
        <v>1421393.5</v>
      </c>
      <c r="P58" s="9">
        <f>SUM('Mountaineer:Charles Town'!P58)</f>
        <v>198523.07</v>
      </c>
      <c r="Q58" s="9">
        <f>SUM('Mountaineer:Charles Town'!Q58)</f>
        <v>29831.190000000002</v>
      </c>
      <c r="R58" s="9">
        <f>SUM('Mountaineer:Charles Town'!R58)</f>
        <v>28075.919999999998</v>
      </c>
      <c r="S58" s="9">
        <f>SUM('Mountaineer:Charles Town'!S58)</f>
        <v>28075.919999999998</v>
      </c>
      <c r="T58" s="9">
        <f>SUM('Mountaineer:Charles Town'!T58)</f>
        <v>49132</v>
      </c>
      <c r="U58" s="9">
        <f>SUM('Mountaineer:Charles Town'!U58)</f>
        <v>34055.880000000005</v>
      </c>
      <c r="V58" s="9">
        <f>SUM('Mountaineer:Charles Town'!V58)</f>
        <v>3832.2695213794545</v>
      </c>
      <c r="W58" s="7">
        <f>SUM('Mountaineer:Charles Town'!W58)</f>
        <v>4241</v>
      </c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</row>
    <row r="60" spans="1:96" ht="15" customHeight="1" thickBot="1" x14ac:dyDescent="0.3">
      <c r="B60" s="14">
        <f t="shared" ref="B60:S60" si="0">SUM(B6:B59)</f>
        <v>4546772769.250001</v>
      </c>
      <c r="C60" s="14">
        <f t="shared" si="0"/>
        <v>4082345146.3899994</v>
      </c>
      <c r="D60" s="14">
        <f t="shared" si="0"/>
        <v>60192997</v>
      </c>
      <c r="E60" s="14">
        <f t="shared" si="0"/>
        <v>404234625.86000007</v>
      </c>
      <c r="F60" s="14">
        <f t="shared" si="0"/>
        <v>13034820.980000002</v>
      </c>
      <c r="G60" s="14">
        <f t="shared" si="0"/>
        <v>3134564.0599999996</v>
      </c>
      <c r="H60" s="14">
        <f t="shared" si="0"/>
        <v>388065240.81999993</v>
      </c>
      <c r="I60" s="14">
        <f t="shared" si="0"/>
        <v>7121859.5100000007</v>
      </c>
      <c r="J60" s="14">
        <f t="shared" si="0"/>
        <v>4429796.5999999996</v>
      </c>
      <c r="K60" s="14">
        <f t="shared" si="0"/>
        <v>2692062.9099999997</v>
      </c>
      <c r="L60" s="14">
        <f t="shared" si="0"/>
        <v>380943381.30999994</v>
      </c>
      <c r="M60" s="14">
        <f t="shared" si="0"/>
        <v>174254319.17999998</v>
      </c>
      <c r="N60" s="14">
        <f t="shared" si="0"/>
        <v>95053993.949999988</v>
      </c>
      <c r="O60" s="14">
        <f t="shared" si="0"/>
        <v>73115693.730000004</v>
      </c>
      <c r="P60" s="14">
        <f t="shared" si="0"/>
        <v>22268821.190000009</v>
      </c>
      <c r="Q60" s="14">
        <f t="shared" si="0"/>
        <v>3488950.0999999996</v>
      </c>
      <c r="R60" s="14">
        <f t="shared" si="0"/>
        <v>2571367.8099999996</v>
      </c>
      <c r="S60" s="14">
        <f t="shared" si="0"/>
        <v>2571367.8099999996</v>
      </c>
      <c r="T60" s="14">
        <f>SUM(T6:T59)+0.01</f>
        <v>5626598.1560000014</v>
      </c>
      <c r="U60" s="14">
        <f>SUM(U6:U59)+0.01</f>
        <v>1992269.3759999999</v>
      </c>
      <c r="V60" s="14">
        <f>AVERAGE(V6:V59)</f>
        <v>8152.1802554335864</v>
      </c>
      <c r="W60" s="16">
        <f>AVERAGE(W6:W59)</f>
        <v>3480.2075471698113</v>
      </c>
    </row>
    <row r="61" spans="1:96" ht="15" customHeight="1" thickTop="1" x14ac:dyDescent="0.25"/>
    <row r="62" spans="1:96" ht="15" customHeight="1" x14ac:dyDescent="0.25">
      <c r="A62" s="1" t="s">
        <v>47</v>
      </c>
    </row>
    <row r="63" spans="1:96" ht="15" customHeight="1" x14ac:dyDescent="0.25">
      <c r="A63" s="1" t="s">
        <v>16</v>
      </c>
    </row>
    <row r="64" spans="1:96" ht="15" customHeight="1" x14ac:dyDescent="0.25">
      <c r="A64" s="1" t="s">
        <v>51</v>
      </c>
      <c r="B64" s="1"/>
    </row>
  </sheetData>
  <mergeCells count="1">
    <mergeCell ref="A4:W4"/>
  </mergeCells>
  <pageMargins left="0.25" right="0.25" top="0.5" bottom="0.25" header="0" footer="0"/>
  <pageSetup paperSize="5" scale="50" orientation="landscape" r:id="rId1"/>
  <headerFooter>
    <oddHeader>&amp;CALL TRACKS VIDEO LOTTERY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Weekly</vt:lpstr>
      <vt:lpstr>YTD Summary</vt:lpstr>
      <vt:lpstr>Mountaineer</vt:lpstr>
      <vt:lpstr>Wheeling</vt:lpstr>
      <vt:lpstr>Mardi Gras</vt:lpstr>
      <vt:lpstr>Charles Town</vt:lpstr>
      <vt:lpstr>Total</vt:lpstr>
      <vt:lpstr>'Charles Town'!Print_Area</vt:lpstr>
      <vt:lpstr>'Mardi Gras'!Print_Area</vt:lpstr>
      <vt:lpstr>Mountaineer!Print_Area</vt:lpstr>
      <vt:lpstr>Total!Print_Area</vt:lpstr>
      <vt:lpstr>Weekly!Print_Area</vt:lpstr>
      <vt:lpstr>Wheeling!Print_Area</vt:lpstr>
      <vt:lpstr>'YTD Summary'!Print_Area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Lisa Mahaffey</cp:lastModifiedBy>
  <cp:lastPrinted>2020-10-14T18:00:29Z</cp:lastPrinted>
  <dcterms:created xsi:type="dcterms:W3CDTF">2017-06-07T17:06:12Z</dcterms:created>
  <dcterms:modified xsi:type="dcterms:W3CDTF">2021-07-01T17:05:56Z</dcterms:modified>
</cp:coreProperties>
</file>